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45" windowWidth="11340" windowHeight="6525" tabRatio="604" activeTab="0"/>
  </bookViews>
  <sheets>
    <sheet name="ورقة1" sheetId="1" r:id="rId1"/>
  </sheets>
  <definedNames>
    <definedName name="_xlnm.Print_Area" localSheetId="0">'ورقة1'!$A$1:$M$62</definedName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<sst xmlns="http://schemas.openxmlformats.org/spreadsheetml/2006/main" count="92" uniqueCount="92">
  <si>
    <t>الضوابط الشرعية</t>
  </si>
  <si>
    <t>التـطـهـير</t>
  </si>
  <si>
    <t>م.</t>
  </si>
  <si>
    <t>الشركة</t>
  </si>
  <si>
    <t>إجمالي الإيرادات</t>
  </si>
  <si>
    <t>الإيرادات المحرمة</t>
  </si>
  <si>
    <t xml:space="preserve">عدد أسهم الشركة </t>
  </si>
  <si>
    <t>سابك</t>
  </si>
  <si>
    <t>المصافي</t>
  </si>
  <si>
    <t>الخزف</t>
  </si>
  <si>
    <t>صافولا</t>
  </si>
  <si>
    <t>التصنيع</t>
  </si>
  <si>
    <t>الدوائية</t>
  </si>
  <si>
    <t>الغاز</t>
  </si>
  <si>
    <t>الجبس</t>
  </si>
  <si>
    <t>الغذائية</t>
  </si>
  <si>
    <t>الكابلات</t>
  </si>
  <si>
    <t>المتطورة</t>
  </si>
  <si>
    <t>صدق</t>
  </si>
  <si>
    <t>زجاج</t>
  </si>
  <si>
    <t>اللجين</t>
  </si>
  <si>
    <t>فيبكو</t>
  </si>
  <si>
    <t>سيسكو</t>
  </si>
  <si>
    <t>نماء</t>
  </si>
  <si>
    <t>معدنية</t>
  </si>
  <si>
    <t>كيمائية</t>
  </si>
  <si>
    <t>الزامل</t>
  </si>
  <si>
    <t>ينبع</t>
  </si>
  <si>
    <t>الفنادق</t>
  </si>
  <si>
    <t>البحري</t>
  </si>
  <si>
    <t>الجماعي</t>
  </si>
  <si>
    <t>المواشي</t>
  </si>
  <si>
    <t>تهامة</t>
  </si>
  <si>
    <t>عسير</t>
  </si>
  <si>
    <t>طيبة</t>
  </si>
  <si>
    <t>مكة</t>
  </si>
  <si>
    <t>الباحة</t>
  </si>
  <si>
    <t>الصادرات</t>
  </si>
  <si>
    <t>التعمير</t>
  </si>
  <si>
    <t>ثمار</t>
  </si>
  <si>
    <t>شمس</t>
  </si>
  <si>
    <t>فتيحي</t>
  </si>
  <si>
    <t>الكهرباء</t>
  </si>
  <si>
    <t>نادك</t>
  </si>
  <si>
    <t>الاسماك</t>
  </si>
  <si>
    <t>الجوف</t>
  </si>
  <si>
    <t>بيشة</t>
  </si>
  <si>
    <t>جازان</t>
  </si>
  <si>
    <t>الاتصالات</t>
  </si>
  <si>
    <t>القصيم الزراعية</t>
  </si>
  <si>
    <t>العقارية</t>
  </si>
  <si>
    <t>الشرقية الزراعية</t>
  </si>
  <si>
    <t>تبوك الزراعية</t>
  </si>
  <si>
    <t>النقل البري</t>
  </si>
  <si>
    <t>نسبة القرض
 المحرم</t>
  </si>
  <si>
    <t>نسبة الاستثمار
 المحرم</t>
  </si>
  <si>
    <t>نسبة الايراد 
المحرم</t>
  </si>
  <si>
    <t>منفعة القرض
 المحرم من
 الأرباح</t>
  </si>
  <si>
    <t xml:space="preserve"> نصيب السهم 
من الإيراد 
المحرم </t>
  </si>
  <si>
    <t>إجمالي الأصول</t>
  </si>
  <si>
    <t>إجمالي القروض الربوية</t>
  </si>
  <si>
    <t>إجمالي الاستثمارات المحرمة</t>
  </si>
  <si>
    <t>السيارات</t>
  </si>
  <si>
    <t>اسمنت تبوك</t>
  </si>
  <si>
    <t>حائل الزراعية</t>
  </si>
  <si>
    <t>الأسمدة</t>
  </si>
  <si>
    <t>الأحساء للتنمية</t>
  </si>
  <si>
    <t>أنابيب</t>
  </si>
  <si>
    <t>أسمنت العربية</t>
  </si>
  <si>
    <t>أسمنت اليمامة</t>
  </si>
  <si>
    <t>أسمنت السعودية</t>
  </si>
  <si>
    <t xml:space="preserve">أسمنت القصيم </t>
  </si>
  <si>
    <t>أسمنت الجنوبية</t>
  </si>
  <si>
    <t>أسمنت الشرقية</t>
  </si>
  <si>
    <t>امانتيت متطورة</t>
  </si>
  <si>
    <t>الربح الموزع لكل سهم</t>
  </si>
  <si>
    <t>الربح بعد إخراج الإيراد المحرم</t>
  </si>
  <si>
    <t>ما يجب إخراجه من منفعة القرض المحرم</t>
  </si>
  <si>
    <t>الصافي الحلال للمساهم</t>
  </si>
  <si>
    <t>بعد ذلك يخصم البرنامج نصف ربح القرض الربوي من الربح الموزع</t>
  </si>
  <si>
    <t>يظهر في العمود Q الربح الصافي بعد تطهيره من الاستثمارات المحرمة، ومن فائدة القرض الربوي</t>
  </si>
  <si>
    <t>سيقوم البرنامج بخصم نصيب السهم من الإيراد المحرم من الربح الموزع، ويخرج باقي ربح السهم في العمود O</t>
  </si>
  <si>
    <t>يجب أولا أن تضع في العمود N الربح الموزع على السهم. وهذه هي الخطوة الوحيدة التي يجب عليك عملها. وقد وضعت عشرة ريالات لكل عمود.</t>
  </si>
  <si>
    <t>إذا كان الربح الموزع في نصف السنة، فاضربه في 2، وإن كان ربعيا، فاضربه بأربعة.</t>
  </si>
  <si>
    <t>جماهير العلماء المعاصرين على حرمة تداول سهم شركة تقترض أو تودع بربا</t>
  </si>
  <si>
    <t>التطهير عملية اجتهادية وليست بديلا عن الابتعاد عن المحرم</t>
  </si>
  <si>
    <t>العلماء مختلفون في كيفية التطهير، والبرنامج يعمل على ضوابط القرار 485 للهيئة الشرعية لشركة الراجحي.</t>
  </si>
  <si>
    <t>العمل أعلاه من باب تعليم الناس للقرار 485 للهيئة الشرعية لشركة الراجحي وليس بالضرورة إقرارا له.</t>
  </si>
  <si>
    <t>ما كان من الشركات أعلاه قد ظهر له نسب حمراء في العمود I أو في J أو في K فمعناه تحريم تلك الشركة حتى بالنسبة للقرار 485.</t>
  </si>
  <si>
    <t>تذكير</t>
  </si>
  <si>
    <t>تعليمات التطهير</t>
  </si>
  <si>
    <t>لا تنسوا أخاكم ومحبكم محمد بن سعود العصيمي ومن أعانه من المراقبين من دعوة صادقة لهم ولوالديهم ولذراريهم بظهر الغيب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</si>
</sst>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_-;_-* #,##0\-;_-* &quot;-&quot;??_-;_-@_-"/>
    <numFmt numFmtId="173" formatCode="0.0%"/>
  </numFmts>
  <fonts count="12">
    <font>
      <sz val="10"/>
      <name val="Arial"/>
      <family val="0"/>
    </font>
    <font>
      <b/>
      <sz val="12"/>
      <name val="Traditional Arabic"/>
      <family val="0"/>
    </font>
    <font>
      <b/>
      <sz val="12"/>
      <color indexed="9"/>
      <name val="Traditional Arabic"/>
      <family val="0"/>
    </font>
    <font>
      <sz val="12"/>
      <name val="Arial"/>
      <family val="0"/>
    </font>
    <font>
      <sz val="12"/>
      <name val="Traditional Arabic"/>
      <family val="0"/>
    </font>
    <font>
      <b/>
      <sz val="11"/>
      <name val="Traditional Arabic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readingOrder="2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3" fontId="4" fillId="0" borderId="1" xfId="21" applyNumberFormat="1" applyFont="1" applyFill="1" applyBorder="1" applyAlignment="1">
      <alignment horizontal="center" vertical="center"/>
    </xf>
    <xf numFmtId="171" fontId="4" fillId="0" borderId="1" xfId="15" applyNumberFormat="1" applyFont="1" applyFill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rightToLeft="1" tabSelected="1" zoomScale="85" zoomScaleNormal="85" zoomScaleSheetLayoutView="87" workbookViewId="0" topLeftCell="A1">
      <selection activeCell="A1" sqref="A1:H1"/>
    </sheetView>
  </sheetViews>
  <sheetFormatPr defaultColWidth="9.140625" defaultRowHeight="12.75"/>
  <cols>
    <col min="1" max="1" width="3.7109375" style="1" bestFit="1" customWidth="1"/>
    <col min="2" max="2" width="11.421875" style="1" bestFit="1" customWidth="1"/>
    <col min="3" max="3" width="19.57421875" style="10" bestFit="1" customWidth="1"/>
    <col min="4" max="6" width="18.28125" style="10" bestFit="1" customWidth="1"/>
    <col min="7" max="7" width="16.140625" style="10" bestFit="1" customWidth="1"/>
    <col min="8" max="8" width="14.8515625" style="10" bestFit="1" customWidth="1"/>
    <col min="9" max="9" width="9.421875" style="10" bestFit="1" customWidth="1"/>
    <col min="10" max="10" width="10.57421875" style="10" bestFit="1" customWidth="1"/>
    <col min="11" max="12" width="9.421875" style="10" bestFit="1" customWidth="1"/>
    <col min="13" max="13" width="11.00390625" style="10" bestFit="1" customWidth="1"/>
    <col min="14" max="14" width="9.140625" style="1" customWidth="1"/>
    <col min="15" max="15" width="15.7109375" style="1" bestFit="1" customWidth="1"/>
    <col min="16" max="16" width="19.57421875" style="1" customWidth="1"/>
    <col min="17" max="17" width="13.00390625" style="1" bestFit="1" customWidth="1"/>
    <col min="18" max="16384" width="9.140625" style="1" customWidth="1"/>
  </cols>
  <sheetData>
    <row r="1" spans="1:13" ht="18.75">
      <c r="A1" s="14"/>
      <c r="B1" s="14"/>
      <c r="C1" s="14"/>
      <c r="D1" s="14"/>
      <c r="E1" s="14"/>
      <c r="F1" s="14"/>
      <c r="G1" s="14"/>
      <c r="H1" s="14"/>
      <c r="I1" s="15" t="s">
        <v>0</v>
      </c>
      <c r="J1" s="15"/>
      <c r="K1" s="15"/>
      <c r="L1" s="16" t="s">
        <v>1</v>
      </c>
      <c r="M1" s="16"/>
    </row>
    <row r="2" spans="1:17" ht="56.25">
      <c r="A2" s="2" t="s">
        <v>2</v>
      </c>
      <c r="B2" s="3" t="s">
        <v>3</v>
      </c>
      <c r="C2" s="2" t="s">
        <v>59</v>
      </c>
      <c r="D2" s="4" t="s">
        <v>60</v>
      </c>
      <c r="E2" s="4" t="s">
        <v>61</v>
      </c>
      <c r="F2" s="4" t="s">
        <v>4</v>
      </c>
      <c r="G2" s="4" t="s">
        <v>5</v>
      </c>
      <c r="H2" s="4" t="s">
        <v>6</v>
      </c>
      <c r="I2" s="5" t="s">
        <v>54</v>
      </c>
      <c r="J2" s="5" t="s">
        <v>55</v>
      </c>
      <c r="K2" s="5" t="s">
        <v>56</v>
      </c>
      <c r="L2" s="6" t="s">
        <v>57</v>
      </c>
      <c r="M2" s="6" t="s">
        <v>58</v>
      </c>
      <c r="N2" s="13" t="s">
        <v>75</v>
      </c>
      <c r="O2" s="13" t="s">
        <v>76</v>
      </c>
      <c r="P2" s="13" t="s">
        <v>77</v>
      </c>
      <c r="Q2" s="13" t="s">
        <v>78</v>
      </c>
    </row>
    <row r="3" spans="1:17" ht="18.75">
      <c r="A3" s="2">
        <v>1</v>
      </c>
      <c r="B3" s="2" t="s">
        <v>7</v>
      </c>
      <c r="C3" s="11">
        <v>109300109000</v>
      </c>
      <c r="D3" s="11">
        <f>459260000+5704918000+29473305000</f>
        <v>35637483000</v>
      </c>
      <c r="E3" s="11">
        <f>200000000+10820195000</f>
        <v>11020195000</v>
      </c>
      <c r="F3" s="11">
        <f>46782405000+831216000</f>
        <v>47613621000</v>
      </c>
      <c r="G3" s="11">
        <v>271862000</v>
      </c>
      <c r="H3" s="11">
        <v>300000000</v>
      </c>
      <c r="I3" s="7">
        <f>D3/C3</f>
        <v>0.32605166935377894</v>
      </c>
      <c r="J3" s="7">
        <f>E3/C3</f>
        <v>0.10082510530707706</v>
      </c>
      <c r="K3" s="7">
        <f>G3/F3</f>
        <v>0.005709752677705399</v>
      </c>
      <c r="L3" s="7">
        <f>I3/2</f>
        <v>0.16302583467688947</v>
      </c>
      <c r="M3" s="8">
        <f>G3/H3</f>
        <v>0.9062066666666667</v>
      </c>
      <c r="N3" s="8">
        <v>10</v>
      </c>
      <c r="O3" s="8">
        <f>N3-M3</f>
        <v>9.093793333333334</v>
      </c>
      <c r="P3" s="8">
        <f>O3*L3</f>
        <v>1.4825232485457998</v>
      </c>
      <c r="Q3" s="8">
        <f>O3-P3</f>
        <v>7.6112700847875345</v>
      </c>
    </row>
    <row r="4" spans="1:17" ht="18.75">
      <c r="A4" s="2">
        <v>2</v>
      </c>
      <c r="B4" s="2" t="s">
        <v>65</v>
      </c>
      <c r="C4" s="11">
        <v>4618434000</v>
      </c>
      <c r="D4" s="11">
        <v>0</v>
      </c>
      <c r="E4" s="11">
        <f>325000000+200000000</f>
        <v>525000000</v>
      </c>
      <c r="F4" s="11">
        <f>1148200000+12934000</f>
        <v>1161134000</v>
      </c>
      <c r="G4" s="11">
        <v>12934000</v>
      </c>
      <c r="H4" s="11">
        <v>40000000</v>
      </c>
      <c r="I4" s="7">
        <f>D4/C4</f>
        <v>0</v>
      </c>
      <c r="J4" s="7">
        <f>E4/C4</f>
        <v>0.11367489499687557</v>
      </c>
      <c r="K4" s="7">
        <f>G4/F4</f>
        <v>0.011139110559160269</v>
      </c>
      <c r="L4" s="7">
        <f aca="true" t="shared" si="0" ref="L4:L22">I4/2</f>
        <v>0</v>
      </c>
      <c r="M4" s="9">
        <f>G4/H4</f>
        <v>0.32335</v>
      </c>
      <c r="N4" s="8">
        <v>10</v>
      </c>
      <c r="O4" s="8">
        <f aca="true" t="shared" si="1" ref="O4:O15">N4-M4</f>
        <v>9.67665</v>
      </c>
      <c r="P4" s="8">
        <f aca="true" t="shared" si="2" ref="P4:P15">O4*L4</f>
        <v>0</v>
      </c>
      <c r="Q4" s="8">
        <f aca="true" t="shared" si="3" ref="Q4:Q15">O4-P4</f>
        <v>9.67665</v>
      </c>
    </row>
    <row r="5" spans="1:17" ht="18.75">
      <c r="A5" s="2">
        <v>3</v>
      </c>
      <c r="B5" s="2" t="s">
        <v>8</v>
      </c>
      <c r="C5" s="11"/>
      <c r="D5" s="11"/>
      <c r="E5" s="11"/>
      <c r="F5" s="11"/>
      <c r="G5" s="11"/>
      <c r="H5" s="11">
        <v>800000</v>
      </c>
      <c r="I5" s="7" t="e">
        <f aca="true" t="shared" si="4" ref="I5:I22">D5/C5</f>
        <v>#DIV/0!</v>
      </c>
      <c r="J5" s="7" t="e">
        <f aca="true" t="shared" si="5" ref="J5:J22">E5/C5</f>
        <v>#DIV/0!</v>
      </c>
      <c r="K5" s="7" t="e">
        <f aca="true" t="shared" si="6" ref="K5:K22">G5/F5</f>
        <v>#DIV/0!</v>
      </c>
      <c r="L5" s="7" t="e">
        <f t="shared" si="0"/>
        <v>#DIV/0!</v>
      </c>
      <c r="M5" s="8">
        <f aca="true" t="shared" si="7" ref="M5:M22">G5/H5</f>
        <v>0</v>
      </c>
      <c r="N5" s="8">
        <v>10</v>
      </c>
      <c r="O5" s="8">
        <f t="shared" si="1"/>
        <v>10</v>
      </c>
      <c r="P5" s="8" t="e">
        <f t="shared" si="2"/>
        <v>#DIV/0!</v>
      </c>
      <c r="Q5" s="8" t="e">
        <f t="shared" si="3"/>
        <v>#DIV/0!</v>
      </c>
    </row>
    <row r="6" spans="1:17" ht="18.75">
      <c r="A6" s="2">
        <v>4</v>
      </c>
      <c r="B6" s="2" t="s">
        <v>9</v>
      </c>
      <c r="C6" s="11"/>
      <c r="D6" s="11"/>
      <c r="E6" s="11"/>
      <c r="F6" s="11"/>
      <c r="G6" s="11"/>
      <c r="H6" s="11">
        <v>5000000</v>
      </c>
      <c r="I6" s="7" t="e">
        <f t="shared" si="4"/>
        <v>#DIV/0!</v>
      </c>
      <c r="J6" s="7" t="e">
        <f t="shared" si="5"/>
        <v>#DIV/0!</v>
      </c>
      <c r="K6" s="7" t="e">
        <f t="shared" si="6"/>
        <v>#DIV/0!</v>
      </c>
      <c r="L6" s="7" t="e">
        <f t="shared" si="0"/>
        <v>#DIV/0!</v>
      </c>
      <c r="M6" s="8">
        <f t="shared" si="7"/>
        <v>0</v>
      </c>
      <c r="N6" s="8">
        <v>10</v>
      </c>
      <c r="O6" s="8">
        <f t="shared" si="1"/>
        <v>10</v>
      </c>
      <c r="P6" s="8" t="e">
        <f t="shared" si="2"/>
        <v>#DIV/0!</v>
      </c>
      <c r="Q6" s="8" t="e">
        <f t="shared" si="3"/>
        <v>#DIV/0!</v>
      </c>
    </row>
    <row r="7" spans="1:17" ht="18.75">
      <c r="A7" s="2">
        <v>5</v>
      </c>
      <c r="B7" s="2" t="s">
        <v>10</v>
      </c>
      <c r="C7" s="11"/>
      <c r="D7" s="11"/>
      <c r="E7" s="11"/>
      <c r="F7" s="11"/>
      <c r="G7" s="11"/>
      <c r="H7" s="11">
        <v>12571428</v>
      </c>
      <c r="I7" s="7" t="e">
        <f>E7/C7</f>
        <v>#DIV/0!</v>
      </c>
      <c r="J7" s="7" t="e">
        <f t="shared" si="5"/>
        <v>#DIV/0!</v>
      </c>
      <c r="K7" s="7" t="e">
        <f>H7/F7</f>
        <v>#DIV/0!</v>
      </c>
      <c r="L7" s="7" t="e">
        <f t="shared" si="0"/>
        <v>#DIV/0!</v>
      </c>
      <c r="M7" s="8">
        <f t="shared" si="7"/>
        <v>0</v>
      </c>
      <c r="N7" s="8">
        <v>10</v>
      </c>
      <c r="O7" s="8">
        <f t="shared" si="1"/>
        <v>10</v>
      </c>
      <c r="P7" s="8" t="e">
        <f t="shared" si="2"/>
        <v>#DIV/0!</v>
      </c>
      <c r="Q7" s="8" t="e">
        <f t="shared" si="3"/>
        <v>#DIV/0!</v>
      </c>
    </row>
    <row r="8" spans="1:17" ht="18.75">
      <c r="A8" s="2">
        <v>6</v>
      </c>
      <c r="B8" s="2" t="s">
        <v>11</v>
      </c>
      <c r="C8" s="11"/>
      <c r="D8" s="11"/>
      <c r="E8" s="11"/>
      <c r="F8" s="11"/>
      <c r="G8" s="11"/>
      <c r="H8" s="11">
        <v>12000000</v>
      </c>
      <c r="I8" s="7" t="e">
        <f t="shared" si="4"/>
        <v>#DIV/0!</v>
      </c>
      <c r="J8" s="7" t="e">
        <f t="shared" si="5"/>
        <v>#DIV/0!</v>
      </c>
      <c r="K8" s="7" t="e">
        <f t="shared" si="6"/>
        <v>#DIV/0!</v>
      </c>
      <c r="L8" s="7" t="e">
        <f t="shared" si="0"/>
        <v>#DIV/0!</v>
      </c>
      <c r="M8" s="8">
        <f t="shared" si="7"/>
        <v>0</v>
      </c>
      <c r="N8" s="8">
        <v>10</v>
      </c>
      <c r="O8" s="8">
        <f t="shared" si="1"/>
        <v>10</v>
      </c>
      <c r="P8" s="8" t="e">
        <f t="shared" si="2"/>
        <v>#DIV/0!</v>
      </c>
      <c r="Q8" s="8" t="e">
        <f t="shared" si="3"/>
        <v>#DIV/0!</v>
      </c>
    </row>
    <row r="9" spans="1:17" ht="18.75">
      <c r="A9" s="2">
        <v>7</v>
      </c>
      <c r="B9" s="2" t="s">
        <v>12</v>
      </c>
      <c r="C9" s="11">
        <v>1584830000</v>
      </c>
      <c r="D9" s="11">
        <v>0</v>
      </c>
      <c r="E9" s="11">
        <v>294305000</v>
      </c>
      <c r="F9" s="11">
        <f>555923000+9521000</f>
        <v>565444000</v>
      </c>
      <c r="G9" s="11">
        <v>7415000</v>
      </c>
      <c r="H9" s="11">
        <v>12000000</v>
      </c>
      <c r="I9" s="7">
        <f t="shared" si="4"/>
        <v>0</v>
      </c>
      <c r="J9" s="7">
        <f t="shared" si="5"/>
        <v>0.1857013055027984</v>
      </c>
      <c r="K9" s="7">
        <f t="shared" si="6"/>
        <v>0.013113588613549707</v>
      </c>
      <c r="L9" s="7">
        <f t="shared" si="0"/>
        <v>0</v>
      </c>
      <c r="M9" s="8">
        <f t="shared" si="7"/>
        <v>0.6179166666666667</v>
      </c>
      <c r="N9" s="8">
        <v>10</v>
      </c>
      <c r="O9" s="8">
        <f t="shared" si="1"/>
        <v>9.382083333333334</v>
      </c>
      <c r="P9" s="8">
        <f t="shared" si="2"/>
        <v>0</v>
      </c>
      <c r="Q9" s="8">
        <f t="shared" si="3"/>
        <v>9.382083333333334</v>
      </c>
    </row>
    <row r="10" spans="1:17" ht="18.75">
      <c r="A10" s="2">
        <v>8</v>
      </c>
      <c r="B10" s="2" t="s">
        <v>13</v>
      </c>
      <c r="C10" s="11">
        <v>1425085613</v>
      </c>
      <c r="D10" s="11">
        <v>0</v>
      </c>
      <c r="E10" s="11">
        <f>112155605+750000000+2625000</f>
        <v>864780605</v>
      </c>
      <c r="F10" s="11">
        <f>1219315283+57074044</f>
        <v>1276389327</v>
      </c>
      <c r="G10" s="11">
        <v>2961223</v>
      </c>
      <c r="H10" s="11">
        <v>15000000</v>
      </c>
      <c r="I10" s="7">
        <f t="shared" si="4"/>
        <v>0</v>
      </c>
      <c r="J10" s="7">
        <f t="shared" si="5"/>
        <v>0.6068271247083314</v>
      </c>
      <c r="K10" s="7">
        <f t="shared" si="6"/>
        <v>0.0023199998130351025</v>
      </c>
      <c r="L10" s="7">
        <f t="shared" si="0"/>
        <v>0</v>
      </c>
      <c r="M10" s="8">
        <f t="shared" si="7"/>
        <v>0.19741486666666666</v>
      </c>
      <c r="N10" s="8">
        <v>10</v>
      </c>
      <c r="O10" s="8">
        <f t="shared" si="1"/>
        <v>9.802585133333332</v>
      </c>
      <c r="P10" s="8">
        <f t="shared" si="2"/>
        <v>0</v>
      </c>
      <c r="Q10" s="8">
        <f t="shared" si="3"/>
        <v>9.802585133333332</v>
      </c>
    </row>
    <row r="11" spans="1:17" ht="18.75">
      <c r="A11" s="2">
        <v>9</v>
      </c>
      <c r="B11" s="2" t="s">
        <v>14</v>
      </c>
      <c r="C11" s="11"/>
      <c r="D11" s="11"/>
      <c r="E11" s="11"/>
      <c r="F11" s="11"/>
      <c r="G11" s="11"/>
      <c r="H11" s="11">
        <v>4000000</v>
      </c>
      <c r="I11" s="7" t="e">
        <f t="shared" si="4"/>
        <v>#DIV/0!</v>
      </c>
      <c r="J11" s="7" t="e">
        <f t="shared" si="5"/>
        <v>#DIV/0!</v>
      </c>
      <c r="K11" s="7" t="e">
        <f t="shared" si="6"/>
        <v>#DIV/0!</v>
      </c>
      <c r="L11" s="7" t="e">
        <f t="shared" si="0"/>
        <v>#DIV/0!</v>
      </c>
      <c r="M11" s="8">
        <f t="shared" si="7"/>
        <v>0</v>
      </c>
      <c r="N11" s="8">
        <v>10</v>
      </c>
      <c r="O11" s="8">
        <f t="shared" si="1"/>
        <v>10</v>
      </c>
      <c r="P11" s="8" t="e">
        <f t="shared" si="2"/>
        <v>#DIV/0!</v>
      </c>
      <c r="Q11" s="8" t="e">
        <f t="shared" si="3"/>
        <v>#DIV/0!</v>
      </c>
    </row>
    <row r="12" spans="1:17" ht="18.75">
      <c r="A12" s="2">
        <v>10</v>
      </c>
      <c r="B12" s="2" t="s">
        <v>15</v>
      </c>
      <c r="C12" s="11">
        <v>196989723</v>
      </c>
      <c r="D12" s="11">
        <v>0</v>
      </c>
      <c r="E12" s="11">
        <v>0</v>
      </c>
      <c r="F12" s="11">
        <f>40913608+611419</f>
        <v>41525027</v>
      </c>
      <c r="G12" s="11">
        <v>0</v>
      </c>
      <c r="H12" s="11">
        <v>4000000</v>
      </c>
      <c r="I12" s="7">
        <f t="shared" si="4"/>
        <v>0</v>
      </c>
      <c r="J12" s="7">
        <f t="shared" si="5"/>
        <v>0</v>
      </c>
      <c r="K12" s="7">
        <f t="shared" si="6"/>
        <v>0</v>
      </c>
      <c r="L12" s="7">
        <f t="shared" si="0"/>
        <v>0</v>
      </c>
      <c r="M12" s="8">
        <f t="shared" si="7"/>
        <v>0</v>
      </c>
      <c r="N12" s="8">
        <v>10</v>
      </c>
      <c r="O12" s="8">
        <f t="shared" si="1"/>
        <v>10</v>
      </c>
      <c r="P12" s="8">
        <f t="shared" si="2"/>
        <v>0</v>
      </c>
      <c r="Q12" s="8">
        <f t="shared" si="3"/>
        <v>10</v>
      </c>
    </row>
    <row r="13" spans="1:17" ht="18.75">
      <c r="A13" s="2">
        <v>11</v>
      </c>
      <c r="B13" s="2" t="s">
        <v>16</v>
      </c>
      <c r="C13" s="11"/>
      <c r="D13" s="11"/>
      <c r="E13" s="11"/>
      <c r="F13" s="11"/>
      <c r="G13" s="11"/>
      <c r="H13" s="11">
        <v>10000000</v>
      </c>
      <c r="I13" s="7" t="e">
        <f t="shared" si="4"/>
        <v>#DIV/0!</v>
      </c>
      <c r="J13" s="7" t="e">
        <f t="shared" si="5"/>
        <v>#DIV/0!</v>
      </c>
      <c r="K13" s="7" t="e">
        <f t="shared" si="6"/>
        <v>#DIV/0!</v>
      </c>
      <c r="L13" s="7" t="e">
        <f t="shared" si="0"/>
        <v>#DIV/0!</v>
      </c>
      <c r="M13" s="8">
        <f t="shared" si="7"/>
        <v>0</v>
      </c>
      <c r="N13" s="8">
        <v>10</v>
      </c>
      <c r="O13" s="8">
        <f t="shared" si="1"/>
        <v>10</v>
      </c>
      <c r="P13" s="8" t="e">
        <f t="shared" si="2"/>
        <v>#DIV/0!</v>
      </c>
      <c r="Q13" s="8" t="e">
        <f t="shared" si="3"/>
        <v>#DIV/0!</v>
      </c>
    </row>
    <row r="14" spans="1:17" ht="18.75">
      <c r="A14" s="2">
        <v>12</v>
      </c>
      <c r="B14" s="2" t="s">
        <v>17</v>
      </c>
      <c r="C14" s="11">
        <v>99720751</v>
      </c>
      <c r="D14" s="11">
        <v>0</v>
      </c>
      <c r="E14" s="11">
        <v>25629668</v>
      </c>
      <c r="F14" s="11">
        <v>1052802</v>
      </c>
      <c r="G14" s="11">
        <v>620478</v>
      </c>
      <c r="H14" s="11">
        <v>2160000</v>
      </c>
      <c r="I14" s="7">
        <f t="shared" si="4"/>
        <v>0</v>
      </c>
      <c r="J14" s="7">
        <f t="shared" si="5"/>
        <v>0.25701439011425015</v>
      </c>
      <c r="K14" s="7">
        <f t="shared" si="6"/>
        <v>0.58935868282925</v>
      </c>
      <c r="L14" s="7">
        <f t="shared" si="0"/>
        <v>0</v>
      </c>
      <c r="M14" s="8">
        <f t="shared" si="7"/>
        <v>0.28725833333333334</v>
      </c>
      <c r="N14" s="8">
        <v>10</v>
      </c>
      <c r="O14" s="8">
        <f t="shared" si="1"/>
        <v>9.712741666666666</v>
      </c>
      <c r="P14" s="8">
        <f t="shared" si="2"/>
        <v>0</v>
      </c>
      <c r="Q14" s="8">
        <f t="shared" si="3"/>
        <v>9.712741666666666</v>
      </c>
    </row>
    <row r="15" spans="1:17" ht="18.75">
      <c r="A15" s="2">
        <v>13</v>
      </c>
      <c r="B15" s="2" t="s">
        <v>18</v>
      </c>
      <c r="C15" s="11"/>
      <c r="D15" s="11"/>
      <c r="E15" s="11"/>
      <c r="F15" s="11"/>
      <c r="G15" s="11"/>
      <c r="H15" s="11">
        <v>8000000</v>
      </c>
      <c r="I15" s="7" t="e">
        <f t="shared" si="4"/>
        <v>#DIV/0!</v>
      </c>
      <c r="J15" s="7" t="e">
        <f t="shared" si="5"/>
        <v>#DIV/0!</v>
      </c>
      <c r="K15" s="7" t="e">
        <f t="shared" si="6"/>
        <v>#DIV/0!</v>
      </c>
      <c r="L15" s="7" t="e">
        <f t="shared" si="0"/>
        <v>#DIV/0!</v>
      </c>
      <c r="M15" s="8">
        <f t="shared" si="7"/>
        <v>0</v>
      </c>
      <c r="N15" s="8">
        <v>10</v>
      </c>
      <c r="O15" s="8">
        <f t="shared" si="1"/>
        <v>10</v>
      </c>
      <c r="P15" s="8" t="e">
        <f t="shared" si="2"/>
        <v>#DIV/0!</v>
      </c>
      <c r="Q15" s="8" t="e">
        <f t="shared" si="3"/>
        <v>#DIV/0!</v>
      </c>
    </row>
    <row r="16" spans="1:17" ht="18.75">
      <c r="A16" s="2">
        <v>14</v>
      </c>
      <c r="B16" s="12" t="s">
        <v>66</v>
      </c>
      <c r="C16" s="11">
        <v>415681810</v>
      </c>
      <c r="D16" s="11">
        <f>3373233+32300000</f>
        <v>35673233</v>
      </c>
      <c r="E16" s="11">
        <v>118075294</v>
      </c>
      <c r="F16" s="11">
        <f>9964968+5507638+595608</f>
        <v>16068214</v>
      </c>
      <c r="G16" s="11">
        <f>3637254</f>
        <v>3637254</v>
      </c>
      <c r="H16" s="11">
        <v>6000000</v>
      </c>
      <c r="I16" s="7">
        <f>D16/C16</f>
        <v>0.08581860486028965</v>
      </c>
      <c r="J16" s="7">
        <f>E16/C16</f>
        <v>0.284052107067182</v>
      </c>
      <c r="K16" s="7">
        <f>G16/F16</f>
        <v>0.22636330335157348</v>
      </c>
      <c r="L16" s="7">
        <f t="shared" si="0"/>
        <v>0.042909302430144826</v>
      </c>
      <c r="M16" s="8">
        <f t="shared" si="7"/>
        <v>0.606209</v>
      </c>
      <c r="N16" s="8">
        <v>10</v>
      </c>
      <c r="O16" s="8">
        <f aca="true" t="shared" si="8" ref="O16:O62">N16-M16</f>
        <v>9.393791</v>
      </c>
      <c r="P16" s="8">
        <f aca="true" t="shared" si="9" ref="P16:P62">O16*L16</f>
        <v>0.4030810189845726</v>
      </c>
      <c r="Q16" s="8">
        <f aca="true" t="shared" si="10" ref="Q16:Q62">O16-P16</f>
        <v>8.990709981015428</v>
      </c>
    </row>
    <row r="17" spans="1:17" ht="18.75">
      <c r="A17" s="2">
        <v>15</v>
      </c>
      <c r="B17" s="2" t="s">
        <v>19</v>
      </c>
      <c r="C17" s="11">
        <v>267676518</v>
      </c>
      <c r="D17" s="11">
        <v>0</v>
      </c>
      <c r="E17" s="11">
        <f>7000000+18600000+24179720</f>
        <v>49779720</v>
      </c>
      <c r="F17" s="11">
        <f>65754213+1657955</f>
        <v>67412168</v>
      </c>
      <c r="G17" s="11">
        <v>1657955</v>
      </c>
      <c r="H17" s="11">
        <v>4000000</v>
      </c>
      <c r="I17" s="7">
        <f>D17/C17</f>
        <v>0</v>
      </c>
      <c r="J17" s="7">
        <f>E17/C17</f>
        <v>0.1859696934641088</v>
      </c>
      <c r="K17" s="7">
        <f>G17/F17</f>
        <v>0.02459429876220566</v>
      </c>
      <c r="L17" s="7">
        <f t="shared" si="0"/>
        <v>0</v>
      </c>
      <c r="M17" s="8">
        <f t="shared" si="7"/>
        <v>0.41448875</v>
      </c>
      <c r="N17" s="8">
        <v>10</v>
      </c>
      <c r="O17" s="8">
        <f t="shared" si="8"/>
        <v>9.58551125</v>
      </c>
      <c r="P17" s="8">
        <f t="shared" si="9"/>
        <v>0</v>
      </c>
      <c r="Q17" s="8">
        <f t="shared" si="10"/>
        <v>9.58551125</v>
      </c>
    </row>
    <row r="18" spans="1:17" ht="18.75">
      <c r="A18" s="2">
        <v>16</v>
      </c>
      <c r="B18" s="2" t="s">
        <v>74</v>
      </c>
      <c r="C18" s="11"/>
      <c r="D18" s="11"/>
      <c r="E18" s="11"/>
      <c r="F18" s="11"/>
      <c r="G18" s="11"/>
      <c r="H18" s="11">
        <v>13000000</v>
      </c>
      <c r="I18" s="7" t="e">
        <f t="shared" si="4"/>
        <v>#DIV/0!</v>
      </c>
      <c r="J18" s="7" t="e">
        <f t="shared" si="5"/>
        <v>#DIV/0!</v>
      </c>
      <c r="K18" s="7" t="e">
        <f t="shared" si="6"/>
        <v>#DIV/0!</v>
      </c>
      <c r="L18" s="7" t="e">
        <f t="shared" si="0"/>
        <v>#DIV/0!</v>
      </c>
      <c r="M18" s="8">
        <f t="shared" si="7"/>
        <v>0</v>
      </c>
      <c r="N18" s="8">
        <v>10</v>
      </c>
      <c r="O18" s="8">
        <f t="shared" si="8"/>
        <v>10</v>
      </c>
      <c r="P18" s="8" t="e">
        <f t="shared" si="9"/>
        <v>#DIV/0!</v>
      </c>
      <c r="Q18" s="8" t="e">
        <f t="shared" si="10"/>
        <v>#DIV/0!</v>
      </c>
    </row>
    <row r="19" spans="1:17" ht="18.75">
      <c r="A19" s="2">
        <v>17</v>
      </c>
      <c r="B19" s="2" t="s">
        <v>20</v>
      </c>
      <c r="C19" s="11">
        <v>500000000</v>
      </c>
      <c r="D19" s="11">
        <v>0</v>
      </c>
      <c r="E19" s="11">
        <v>25506054</v>
      </c>
      <c r="F19" s="11">
        <v>7132010</v>
      </c>
      <c r="G19" s="11">
        <v>0</v>
      </c>
      <c r="H19" s="11">
        <v>3460000</v>
      </c>
      <c r="I19" s="7">
        <f t="shared" si="4"/>
        <v>0</v>
      </c>
      <c r="J19" s="7">
        <f t="shared" si="5"/>
        <v>0.051012108</v>
      </c>
      <c r="K19" s="7">
        <f t="shared" si="6"/>
        <v>0</v>
      </c>
      <c r="L19" s="7">
        <f t="shared" si="0"/>
        <v>0</v>
      </c>
      <c r="M19" s="8">
        <f t="shared" si="7"/>
        <v>0</v>
      </c>
      <c r="N19" s="8">
        <v>10</v>
      </c>
      <c r="O19" s="8">
        <f t="shared" si="8"/>
        <v>10</v>
      </c>
      <c r="P19" s="8">
        <f t="shared" si="9"/>
        <v>0</v>
      </c>
      <c r="Q19" s="8">
        <f t="shared" si="10"/>
        <v>10</v>
      </c>
    </row>
    <row r="20" spans="1:17" ht="18.75">
      <c r="A20" s="2">
        <v>18</v>
      </c>
      <c r="B20" s="2" t="s">
        <v>21</v>
      </c>
      <c r="C20" s="11"/>
      <c r="D20" s="11"/>
      <c r="E20" s="11"/>
      <c r="F20" s="11"/>
      <c r="G20" s="11"/>
      <c r="H20" s="11">
        <v>1375000</v>
      </c>
      <c r="I20" s="7" t="e">
        <f t="shared" si="4"/>
        <v>#DIV/0!</v>
      </c>
      <c r="J20" s="7" t="e">
        <f t="shared" si="5"/>
        <v>#DIV/0!</v>
      </c>
      <c r="K20" s="7" t="e">
        <f t="shared" si="6"/>
        <v>#DIV/0!</v>
      </c>
      <c r="L20" s="7" t="e">
        <f t="shared" si="0"/>
        <v>#DIV/0!</v>
      </c>
      <c r="M20" s="8">
        <f t="shared" si="7"/>
        <v>0</v>
      </c>
      <c r="N20" s="8">
        <v>10</v>
      </c>
      <c r="O20" s="8">
        <f t="shared" si="8"/>
        <v>10</v>
      </c>
      <c r="P20" s="8" t="e">
        <f t="shared" si="9"/>
        <v>#DIV/0!</v>
      </c>
      <c r="Q20" s="8" t="e">
        <f t="shared" si="10"/>
        <v>#DIV/0!</v>
      </c>
    </row>
    <row r="21" spans="1:17" ht="18.75">
      <c r="A21" s="2">
        <v>19</v>
      </c>
      <c r="B21" s="2" t="s">
        <v>22</v>
      </c>
      <c r="C21" s="11"/>
      <c r="D21" s="11"/>
      <c r="E21" s="11"/>
      <c r="F21" s="11"/>
      <c r="G21" s="11"/>
      <c r="H21" s="11">
        <v>2000000</v>
      </c>
      <c r="I21" s="7" t="e">
        <f t="shared" si="4"/>
        <v>#DIV/0!</v>
      </c>
      <c r="J21" s="7" t="e">
        <f t="shared" si="5"/>
        <v>#DIV/0!</v>
      </c>
      <c r="K21" s="7" t="e">
        <f t="shared" si="6"/>
        <v>#DIV/0!</v>
      </c>
      <c r="L21" s="7" t="e">
        <f t="shared" si="0"/>
        <v>#DIV/0!</v>
      </c>
      <c r="M21" s="8">
        <f t="shared" si="7"/>
        <v>0</v>
      </c>
      <c r="N21" s="8">
        <v>10</v>
      </c>
      <c r="O21" s="8">
        <f t="shared" si="8"/>
        <v>10</v>
      </c>
      <c r="P21" s="8" t="e">
        <f t="shared" si="9"/>
        <v>#DIV/0!</v>
      </c>
      <c r="Q21" s="8" t="e">
        <f t="shared" si="10"/>
        <v>#DIV/0!</v>
      </c>
    </row>
    <row r="22" spans="1:17" ht="18.75">
      <c r="A22" s="2">
        <v>20</v>
      </c>
      <c r="B22" s="2" t="s">
        <v>67</v>
      </c>
      <c r="C22" s="11">
        <v>395400093</v>
      </c>
      <c r="D22" s="11">
        <f>9436468+178961921</f>
        <v>188398389</v>
      </c>
      <c r="E22" s="11">
        <v>0</v>
      </c>
      <c r="F22" s="11">
        <f>162049475+164225</f>
        <v>162213700</v>
      </c>
      <c r="G22" s="11">
        <v>0</v>
      </c>
      <c r="H22" s="11">
        <v>1960000</v>
      </c>
      <c r="I22" s="7">
        <f t="shared" si="4"/>
        <v>0.4764753279913872</v>
      </c>
      <c r="J22" s="7">
        <f t="shared" si="5"/>
        <v>0</v>
      </c>
      <c r="K22" s="7">
        <f t="shared" si="6"/>
        <v>0</v>
      </c>
      <c r="L22" s="7">
        <f t="shared" si="0"/>
        <v>0.2382376639956936</v>
      </c>
      <c r="M22" s="8">
        <f t="shared" si="7"/>
        <v>0</v>
      </c>
      <c r="N22" s="8">
        <v>10</v>
      </c>
      <c r="O22" s="8">
        <f t="shared" si="8"/>
        <v>10</v>
      </c>
      <c r="P22" s="8">
        <f t="shared" si="9"/>
        <v>2.382376639956936</v>
      </c>
      <c r="Q22" s="8">
        <f t="shared" si="10"/>
        <v>7.617623360043064</v>
      </c>
    </row>
    <row r="23" spans="1:17" ht="18.75">
      <c r="A23" s="2">
        <v>21</v>
      </c>
      <c r="B23" s="2" t="s">
        <v>23</v>
      </c>
      <c r="C23" s="11">
        <v>537410674</v>
      </c>
      <c r="D23" s="11">
        <f>12433848+26000000</f>
        <v>38433848</v>
      </c>
      <c r="E23" s="11">
        <f>16161500+62500000</f>
        <v>78661500</v>
      </c>
      <c r="F23" s="11">
        <f>161906469+2131758+4689695</f>
        <v>168727922</v>
      </c>
      <c r="G23" s="11">
        <v>0</v>
      </c>
      <c r="H23" s="11">
        <v>5000000</v>
      </c>
      <c r="I23" s="7">
        <f>D23/C23</f>
        <v>0.07151671870216705</v>
      </c>
      <c r="J23" s="7">
        <f>E23/C23</f>
        <v>0.1463713018844877</v>
      </c>
      <c r="K23" s="7">
        <f>G23/F23</f>
        <v>0</v>
      </c>
      <c r="L23" s="7">
        <f>I23/2</f>
        <v>0.03575835935108353</v>
      </c>
      <c r="M23" s="8">
        <f>G23/H23</f>
        <v>0</v>
      </c>
      <c r="N23" s="8">
        <v>10</v>
      </c>
      <c r="O23" s="8">
        <f t="shared" si="8"/>
        <v>10</v>
      </c>
      <c r="P23" s="8">
        <f t="shared" si="9"/>
        <v>0.35758359351083524</v>
      </c>
      <c r="Q23" s="8">
        <f t="shared" si="10"/>
        <v>9.642416406489165</v>
      </c>
    </row>
    <row r="24" spans="1:17" ht="18.75">
      <c r="A24" s="2">
        <v>22</v>
      </c>
      <c r="B24" s="2" t="s">
        <v>24</v>
      </c>
      <c r="C24" s="11"/>
      <c r="D24" s="11"/>
      <c r="E24" s="11"/>
      <c r="F24" s="11"/>
      <c r="G24" s="11"/>
      <c r="H24" s="11"/>
      <c r="I24" s="7" t="e">
        <f>D24/C24</f>
        <v>#DIV/0!</v>
      </c>
      <c r="J24" s="7" t="e">
        <f>E24/C24</f>
        <v>#DIV/0!</v>
      </c>
      <c r="K24" s="7" t="e">
        <f>G24/F24</f>
        <v>#DIV/0!</v>
      </c>
      <c r="L24" s="7" t="e">
        <f>I24/2</f>
        <v>#DIV/0!</v>
      </c>
      <c r="M24" s="8" t="e">
        <f>G24/H24</f>
        <v>#DIV/0!</v>
      </c>
      <c r="N24" s="8">
        <v>10</v>
      </c>
      <c r="O24" s="8" t="e">
        <f t="shared" si="8"/>
        <v>#DIV/0!</v>
      </c>
      <c r="P24" s="8" t="e">
        <f t="shared" si="9"/>
        <v>#DIV/0!</v>
      </c>
      <c r="Q24" s="8" t="e">
        <f t="shared" si="10"/>
        <v>#DIV/0!</v>
      </c>
    </row>
    <row r="25" spans="1:17" ht="18.75">
      <c r="A25" s="2">
        <v>23</v>
      </c>
      <c r="B25" s="2" t="s">
        <v>25</v>
      </c>
      <c r="C25" s="11"/>
      <c r="D25" s="11"/>
      <c r="E25" s="11"/>
      <c r="F25" s="11"/>
      <c r="G25" s="11"/>
      <c r="H25" s="11">
        <v>9300000</v>
      </c>
      <c r="I25" s="7" t="e">
        <f>D25/C25</f>
        <v>#DIV/0!</v>
      </c>
      <c r="J25" s="7" t="e">
        <f>E25/C25</f>
        <v>#DIV/0!</v>
      </c>
      <c r="K25" s="7" t="e">
        <f>G25/F25</f>
        <v>#DIV/0!</v>
      </c>
      <c r="L25" s="7" t="e">
        <f>I25/2</f>
        <v>#DIV/0!</v>
      </c>
      <c r="M25" s="8">
        <f>G25/H25</f>
        <v>0</v>
      </c>
      <c r="N25" s="8">
        <v>10</v>
      </c>
      <c r="O25" s="8">
        <f t="shared" si="8"/>
        <v>10</v>
      </c>
      <c r="P25" s="8" t="e">
        <f t="shared" si="9"/>
        <v>#DIV/0!</v>
      </c>
      <c r="Q25" s="8" t="e">
        <f t="shared" si="10"/>
        <v>#DIV/0!</v>
      </c>
    </row>
    <row r="26" spans="1:17" ht="18.75">
      <c r="A26" s="2">
        <v>24</v>
      </c>
      <c r="B26" s="2" t="s">
        <v>26</v>
      </c>
      <c r="C26" s="11"/>
      <c r="D26" s="11"/>
      <c r="E26" s="11"/>
      <c r="F26" s="11"/>
      <c r="G26" s="11"/>
      <c r="H26" s="11">
        <v>6000000</v>
      </c>
      <c r="I26" s="7" t="e">
        <f>D26/C26</f>
        <v>#DIV/0!</v>
      </c>
      <c r="J26" s="7" t="e">
        <f>E26/C26</f>
        <v>#DIV/0!</v>
      </c>
      <c r="K26" s="7" t="e">
        <f>G26/F26</f>
        <v>#DIV/0!</v>
      </c>
      <c r="L26" s="7" t="e">
        <f>I26/2</f>
        <v>#DIV/0!</v>
      </c>
      <c r="M26" s="8">
        <f>G26/H26</f>
        <v>0</v>
      </c>
      <c r="N26" s="8">
        <v>10</v>
      </c>
      <c r="O26" s="8">
        <f t="shared" si="8"/>
        <v>10</v>
      </c>
      <c r="P26" s="8" t="e">
        <f t="shared" si="9"/>
        <v>#DIV/0!</v>
      </c>
      <c r="Q26" s="8" t="e">
        <f t="shared" si="10"/>
        <v>#DIV/0!</v>
      </c>
    </row>
    <row r="27" spans="1:17" ht="18.75">
      <c r="A27" s="2">
        <v>25</v>
      </c>
      <c r="B27" s="2" t="s">
        <v>68</v>
      </c>
      <c r="C27" s="11"/>
      <c r="D27" s="11"/>
      <c r="E27" s="11"/>
      <c r="F27" s="11"/>
      <c r="G27" s="11"/>
      <c r="H27" s="11">
        <v>12000000</v>
      </c>
      <c r="I27" s="7" t="e">
        <f>D27/C27</f>
        <v>#DIV/0!</v>
      </c>
      <c r="J27" s="7" t="e">
        <f>E27/C27</f>
        <v>#DIV/0!</v>
      </c>
      <c r="K27" s="7" t="e">
        <f>G27/F27</f>
        <v>#DIV/0!</v>
      </c>
      <c r="L27" s="7" t="e">
        <f aca="true" t="shared" si="11" ref="L27:L61">I27/2</f>
        <v>#DIV/0!</v>
      </c>
      <c r="M27" s="8">
        <f>G27/H27</f>
        <v>0</v>
      </c>
      <c r="N27" s="8">
        <v>10</v>
      </c>
      <c r="O27" s="8">
        <f t="shared" si="8"/>
        <v>10</v>
      </c>
      <c r="P27" s="8" t="e">
        <f t="shared" si="9"/>
        <v>#DIV/0!</v>
      </c>
      <c r="Q27" s="8" t="e">
        <f t="shared" si="10"/>
        <v>#DIV/0!</v>
      </c>
    </row>
    <row r="28" spans="1:17" ht="18.75">
      <c r="A28" s="2">
        <v>26</v>
      </c>
      <c r="B28" s="2" t="s">
        <v>69</v>
      </c>
      <c r="C28" s="11">
        <v>1488773560</v>
      </c>
      <c r="D28" s="11">
        <v>0</v>
      </c>
      <c r="E28" s="11">
        <f>250000000+356250000</f>
        <v>606250000</v>
      </c>
      <c r="F28" s="11">
        <f>399435233+30386488+8843441</f>
        <v>438665162</v>
      </c>
      <c r="G28" s="11">
        <v>8726469</v>
      </c>
      <c r="H28" s="11">
        <v>9000000</v>
      </c>
      <c r="I28" s="7">
        <f aca="true" t="shared" si="12" ref="I28:I61">D28/C28</f>
        <v>0</v>
      </c>
      <c r="J28" s="7">
        <f aca="true" t="shared" si="13" ref="J28:J61">E28/C28</f>
        <v>0.40721437852509956</v>
      </c>
      <c r="K28" s="7">
        <f aca="true" t="shared" si="14" ref="K28:K61">G28/F28</f>
        <v>0.01989323464898268</v>
      </c>
      <c r="L28" s="7">
        <f t="shared" si="11"/>
        <v>0</v>
      </c>
      <c r="M28" s="8">
        <f aca="true" t="shared" si="15" ref="M28:M61">G28/H28</f>
        <v>0.9696076666666666</v>
      </c>
      <c r="N28" s="8">
        <v>10</v>
      </c>
      <c r="O28" s="8">
        <f t="shared" si="8"/>
        <v>9.030392333333333</v>
      </c>
      <c r="P28" s="8">
        <f t="shared" si="9"/>
        <v>0</v>
      </c>
      <c r="Q28" s="8">
        <f t="shared" si="10"/>
        <v>9.030392333333333</v>
      </c>
    </row>
    <row r="29" spans="1:17" ht="18.75">
      <c r="A29" s="2">
        <v>27</v>
      </c>
      <c r="B29" s="2" t="s">
        <v>70</v>
      </c>
      <c r="C29" s="11"/>
      <c r="D29" s="11"/>
      <c r="E29" s="11"/>
      <c r="F29" s="11"/>
      <c r="G29" s="11"/>
      <c r="H29" s="11">
        <v>20400000</v>
      </c>
      <c r="I29" s="7" t="e">
        <f t="shared" si="12"/>
        <v>#DIV/0!</v>
      </c>
      <c r="J29" s="7" t="e">
        <f t="shared" si="13"/>
        <v>#DIV/0!</v>
      </c>
      <c r="K29" s="7" t="e">
        <f t="shared" si="14"/>
        <v>#DIV/0!</v>
      </c>
      <c r="L29" s="7" t="e">
        <f t="shared" si="11"/>
        <v>#DIV/0!</v>
      </c>
      <c r="M29" s="8">
        <f t="shared" si="15"/>
        <v>0</v>
      </c>
      <c r="N29" s="8">
        <v>10</v>
      </c>
      <c r="O29" s="8">
        <f t="shared" si="8"/>
        <v>10</v>
      </c>
      <c r="P29" s="8" t="e">
        <f t="shared" si="9"/>
        <v>#DIV/0!</v>
      </c>
      <c r="Q29" s="8" t="e">
        <f t="shared" si="10"/>
        <v>#DIV/0!</v>
      </c>
    </row>
    <row r="30" spans="1:17" ht="18.75">
      <c r="A30" s="2">
        <v>28</v>
      </c>
      <c r="B30" s="2" t="s">
        <v>71</v>
      </c>
      <c r="C30" s="11">
        <v>1122984223</v>
      </c>
      <c r="D30" s="11">
        <v>0</v>
      </c>
      <c r="E30" s="11">
        <f>105667326+294001976+80000000</f>
        <v>479669302</v>
      </c>
      <c r="F30" s="11">
        <f>239195177+24042575</f>
        <v>263237752</v>
      </c>
      <c r="G30" s="11">
        <v>12139780</v>
      </c>
      <c r="H30" s="11">
        <v>9000000</v>
      </c>
      <c r="I30" s="7">
        <f t="shared" si="12"/>
        <v>0</v>
      </c>
      <c r="J30" s="7">
        <f t="shared" si="13"/>
        <v>0.4271380596234788</v>
      </c>
      <c r="K30" s="7">
        <f t="shared" si="14"/>
        <v>0.046117169394456765</v>
      </c>
      <c r="L30" s="7">
        <f t="shared" si="11"/>
        <v>0</v>
      </c>
      <c r="M30" s="8">
        <f t="shared" si="15"/>
        <v>1.3488644444444444</v>
      </c>
      <c r="N30" s="8">
        <v>10</v>
      </c>
      <c r="O30" s="8">
        <f t="shared" si="8"/>
        <v>8.651135555555555</v>
      </c>
      <c r="P30" s="8">
        <f t="shared" si="9"/>
        <v>0</v>
      </c>
      <c r="Q30" s="8">
        <f t="shared" si="10"/>
        <v>8.651135555555555</v>
      </c>
    </row>
    <row r="31" spans="1:17" ht="18.75">
      <c r="A31" s="2">
        <v>29</v>
      </c>
      <c r="B31" s="2" t="s">
        <v>72</v>
      </c>
      <c r="C31" s="11">
        <v>2170775209</v>
      </c>
      <c r="D31" s="11">
        <v>0</v>
      </c>
      <c r="E31" s="11">
        <f>676543937+171008116+150000000</f>
        <v>997552053</v>
      </c>
      <c r="F31" s="11">
        <f>522529521+22356972</f>
        <v>544886493</v>
      </c>
      <c r="G31" s="11">
        <f>9340335+5985284</f>
        <v>15325619</v>
      </c>
      <c r="H31" s="11">
        <v>21000000</v>
      </c>
      <c r="I31" s="7">
        <f t="shared" si="12"/>
        <v>0</v>
      </c>
      <c r="J31" s="7">
        <f t="shared" si="13"/>
        <v>0.45953724220921854</v>
      </c>
      <c r="K31" s="7">
        <f t="shared" si="14"/>
        <v>0.02812625968322544</v>
      </c>
      <c r="L31" s="7">
        <f t="shared" si="11"/>
        <v>0</v>
      </c>
      <c r="M31" s="8">
        <f t="shared" si="15"/>
        <v>0.7297913809523809</v>
      </c>
      <c r="N31" s="8">
        <v>10</v>
      </c>
      <c r="O31" s="8">
        <f t="shared" si="8"/>
        <v>9.270208619047619</v>
      </c>
      <c r="P31" s="8">
        <f t="shared" si="9"/>
        <v>0</v>
      </c>
      <c r="Q31" s="8">
        <f t="shared" si="10"/>
        <v>9.270208619047619</v>
      </c>
    </row>
    <row r="32" spans="1:17" ht="18.75">
      <c r="A32" s="2">
        <v>30</v>
      </c>
      <c r="B32" s="2" t="s">
        <v>27</v>
      </c>
      <c r="C32" s="11"/>
      <c r="D32" s="11"/>
      <c r="E32" s="11"/>
      <c r="F32" s="11"/>
      <c r="G32" s="11"/>
      <c r="H32" s="11">
        <v>21000000</v>
      </c>
      <c r="I32" s="7" t="e">
        <f t="shared" si="12"/>
        <v>#DIV/0!</v>
      </c>
      <c r="J32" s="7" t="e">
        <f t="shared" si="13"/>
        <v>#DIV/0!</v>
      </c>
      <c r="K32" s="7" t="e">
        <f t="shared" si="14"/>
        <v>#DIV/0!</v>
      </c>
      <c r="L32" s="7" t="e">
        <f t="shared" si="11"/>
        <v>#DIV/0!</v>
      </c>
      <c r="M32" s="8">
        <f t="shared" si="15"/>
        <v>0</v>
      </c>
      <c r="N32" s="8">
        <v>10</v>
      </c>
      <c r="O32" s="8">
        <f t="shared" si="8"/>
        <v>10</v>
      </c>
      <c r="P32" s="8" t="e">
        <f t="shared" si="9"/>
        <v>#DIV/0!</v>
      </c>
      <c r="Q32" s="8" t="e">
        <f t="shared" si="10"/>
        <v>#DIV/0!</v>
      </c>
    </row>
    <row r="33" spans="1:17" ht="18.75">
      <c r="A33" s="2">
        <v>31</v>
      </c>
      <c r="B33" s="2" t="s">
        <v>73</v>
      </c>
      <c r="C33" s="11">
        <v>1403290000</v>
      </c>
      <c r="D33" s="11">
        <v>0</v>
      </c>
      <c r="E33" s="11">
        <f>134000000+446000000</f>
        <v>580000000</v>
      </c>
      <c r="F33" s="11">
        <f>262732000+19775000+4695000</f>
        <v>287202000</v>
      </c>
      <c r="G33" s="11">
        <v>19775000</v>
      </c>
      <c r="H33" s="11">
        <v>12900000</v>
      </c>
      <c r="I33" s="7">
        <f t="shared" si="12"/>
        <v>0</v>
      </c>
      <c r="J33" s="7">
        <f t="shared" si="13"/>
        <v>0.41331442538605706</v>
      </c>
      <c r="K33" s="7">
        <f t="shared" si="14"/>
        <v>0.06885397733999067</v>
      </c>
      <c r="L33" s="7">
        <f t="shared" si="11"/>
        <v>0</v>
      </c>
      <c r="M33" s="8">
        <f t="shared" si="15"/>
        <v>1.5329457364341086</v>
      </c>
      <c r="N33" s="8">
        <v>10</v>
      </c>
      <c r="O33" s="8">
        <f t="shared" si="8"/>
        <v>8.467054263565892</v>
      </c>
      <c r="P33" s="8">
        <f t="shared" si="9"/>
        <v>0</v>
      </c>
      <c r="Q33" s="8">
        <f t="shared" si="10"/>
        <v>8.467054263565892</v>
      </c>
    </row>
    <row r="34" spans="1:17" ht="18.75">
      <c r="A34" s="2">
        <v>32</v>
      </c>
      <c r="B34" s="2" t="s">
        <v>63</v>
      </c>
      <c r="C34" s="11">
        <v>1120090075</v>
      </c>
      <c r="D34" s="11">
        <v>0</v>
      </c>
      <c r="E34" s="11">
        <v>109700000</v>
      </c>
      <c r="F34" s="11">
        <f>210834908+4982178</f>
        <v>215817086</v>
      </c>
      <c r="G34" s="11">
        <v>2706862</v>
      </c>
      <c r="H34" s="11">
        <v>14000000</v>
      </c>
      <c r="I34" s="7">
        <f t="shared" si="12"/>
        <v>0</v>
      </c>
      <c r="J34" s="7">
        <f t="shared" si="13"/>
        <v>0.09793855195083306</v>
      </c>
      <c r="K34" s="7">
        <f t="shared" si="14"/>
        <v>0.012542389716076512</v>
      </c>
      <c r="L34" s="7">
        <f t="shared" si="11"/>
        <v>0</v>
      </c>
      <c r="M34" s="8">
        <f t="shared" si="15"/>
        <v>0.19334728571428572</v>
      </c>
      <c r="N34" s="8">
        <v>10</v>
      </c>
      <c r="O34" s="8">
        <f t="shared" si="8"/>
        <v>9.806652714285715</v>
      </c>
      <c r="P34" s="8">
        <f t="shared" si="9"/>
        <v>0</v>
      </c>
      <c r="Q34" s="8">
        <f t="shared" si="10"/>
        <v>9.806652714285715</v>
      </c>
    </row>
    <row r="35" spans="1:17" ht="18.75">
      <c r="A35" s="2">
        <v>33</v>
      </c>
      <c r="B35" s="2" t="s">
        <v>28</v>
      </c>
      <c r="C35" s="11">
        <v>1392023841</v>
      </c>
      <c r="D35" s="11">
        <v>0</v>
      </c>
      <c r="E35" s="11">
        <f>245007348+6197450</f>
        <v>251204798</v>
      </c>
      <c r="F35" s="11">
        <f>166985028+9039998</f>
        <v>176025026</v>
      </c>
      <c r="G35" s="11">
        <f>5236700+123949</f>
        <v>5360649</v>
      </c>
      <c r="H35" s="11">
        <v>10000000</v>
      </c>
      <c r="I35" s="7">
        <f t="shared" si="12"/>
        <v>0</v>
      </c>
      <c r="J35" s="7">
        <f t="shared" si="13"/>
        <v>0.18046012618543938</v>
      </c>
      <c r="K35" s="7">
        <f t="shared" si="14"/>
        <v>0.03045390261723353</v>
      </c>
      <c r="L35" s="7">
        <f t="shared" si="11"/>
        <v>0</v>
      </c>
      <c r="M35" s="8">
        <f t="shared" si="15"/>
        <v>0.5360649</v>
      </c>
      <c r="N35" s="8">
        <v>10</v>
      </c>
      <c r="O35" s="8">
        <f t="shared" si="8"/>
        <v>9.4639351</v>
      </c>
      <c r="P35" s="8">
        <f t="shared" si="9"/>
        <v>0</v>
      </c>
      <c r="Q35" s="8">
        <f t="shared" si="10"/>
        <v>9.4639351</v>
      </c>
    </row>
    <row r="36" spans="1:17" ht="18.75">
      <c r="A36" s="2">
        <v>34</v>
      </c>
      <c r="B36" s="2" t="s">
        <v>50</v>
      </c>
      <c r="C36" s="11">
        <v>1456225577</v>
      </c>
      <c r="D36" s="11">
        <v>41744</v>
      </c>
      <c r="E36" s="11">
        <v>123026979</v>
      </c>
      <c r="F36" s="11">
        <f>192118637+14187033</f>
        <v>206305670</v>
      </c>
      <c r="G36" s="11">
        <v>1642203</v>
      </c>
      <c r="H36" s="11">
        <v>12000000</v>
      </c>
      <c r="I36" s="7">
        <f t="shared" si="12"/>
        <v>2.866588848548977E-05</v>
      </c>
      <c r="J36" s="7">
        <f t="shared" si="13"/>
        <v>0.08448346255080232</v>
      </c>
      <c r="K36" s="7">
        <f t="shared" si="14"/>
        <v>0.007960047826121308</v>
      </c>
      <c r="L36" s="7">
        <f t="shared" si="11"/>
        <v>1.4332944242744886E-05</v>
      </c>
      <c r="M36" s="8">
        <f t="shared" si="15"/>
        <v>0.13685025</v>
      </c>
      <c r="N36" s="8">
        <v>10</v>
      </c>
      <c r="O36" s="8">
        <f t="shared" si="8"/>
        <v>9.86314975</v>
      </c>
      <c r="P36" s="8">
        <f t="shared" si="9"/>
        <v>0.00014136797542459316</v>
      </c>
      <c r="Q36" s="8">
        <f t="shared" si="10"/>
        <v>9.863008382024574</v>
      </c>
    </row>
    <row r="37" spans="1:17" ht="18.75">
      <c r="A37" s="2">
        <v>35</v>
      </c>
      <c r="B37" s="2" t="s">
        <v>29</v>
      </c>
      <c r="C37" s="11">
        <v>4258069000</v>
      </c>
      <c r="D37" s="11">
        <f>246605000+1597858000</f>
        <v>1844463000</v>
      </c>
      <c r="E37" s="11">
        <f>288771000+52178000</f>
        <v>340949000</v>
      </c>
      <c r="F37" s="11">
        <f>1446375000+3065000+20868000</f>
        <v>1470308000</v>
      </c>
      <c r="G37" s="11">
        <f>5787000+2148000+474000</f>
        <v>8409000</v>
      </c>
      <c r="H37" s="11">
        <v>39950605</v>
      </c>
      <c r="I37" s="7">
        <f t="shared" si="12"/>
        <v>0.4331688847691289</v>
      </c>
      <c r="J37" s="7">
        <f t="shared" si="13"/>
        <v>0.08007127174313051</v>
      </c>
      <c r="K37" s="7">
        <f t="shared" si="14"/>
        <v>0.005719209852629517</v>
      </c>
      <c r="L37" s="7">
        <f t="shared" si="11"/>
        <v>0.21658444238456445</v>
      </c>
      <c r="M37" s="8">
        <f t="shared" si="15"/>
        <v>0.2104849225687571</v>
      </c>
      <c r="N37" s="8">
        <v>10</v>
      </c>
      <c r="O37" s="8">
        <f t="shared" si="8"/>
        <v>9.789515077431243</v>
      </c>
      <c r="P37" s="8">
        <f t="shared" si="9"/>
        <v>2.120256664260732</v>
      </c>
      <c r="Q37" s="8">
        <f t="shared" si="10"/>
        <v>7.669258413170511</v>
      </c>
    </row>
    <row r="38" spans="1:19" ht="18.75">
      <c r="A38" s="2">
        <v>36</v>
      </c>
      <c r="B38" s="2" t="s">
        <v>30</v>
      </c>
      <c r="C38" s="11"/>
      <c r="D38" s="11"/>
      <c r="E38" s="11"/>
      <c r="F38" s="11"/>
      <c r="G38" s="11"/>
      <c r="H38" s="11">
        <v>20000000</v>
      </c>
      <c r="I38" s="7" t="e">
        <f t="shared" si="12"/>
        <v>#DIV/0!</v>
      </c>
      <c r="J38" s="7" t="e">
        <f t="shared" si="13"/>
        <v>#DIV/0!</v>
      </c>
      <c r="K38" s="7" t="e">
        <f t="shared" si="14"/>
        <v>#DIV/0!</v>
      </c>
      <c r="L38" s="7" t="e">
        <f t="shared" si="11"/>
        <v>#DIV/0!</v>
      </c>
      <c r="M38" s="8">
        <f t="shared" si="15"/>
        <v>0</v>
      </c>
      <c r="N38" s="8">
        <v>10</v>
      </c>
      <c r="O38" s="8">
        <f t="shared" si="8"/>
        <v>10</v>
      </c>
      <c r="P38" s="8" t="e">
        <f t="shared" si="9"/>
        <v>#DIV/0!</v>
      </c>
      <c r="Q38" s="8" t="e">
        <f t="shared" si="10"/>
        <v>#DIV/0!</v>
      </c>
      <c r="S38" s="1">
        <f>123949*0.03</f>
        <v>3718.47</v>
      </c>
    </row>
    <row r="39" spans="1:21" ht="18.75">
      <c r="A39" s="2">
        <v>37</v>
      </c>
      <c r="B39" s="2" t="s">
        <v>53</v>
      </c>
      <c r="C39" s="11"/>
      <c r="D39" s="11"/>
      <c r="E39" s="11"/>
      <c r="F39" s="11"/>
      <c r="G39" s="11"/>
      <c r="H39" s="11">
        <v>3600000</v>
      </c>
      <c r="I39" s="7" t="e">
        <f t="shared" si="12"/>
        <v>#DIV/0!</v>
      </c>
      <c r="J39" s="7" t="e">
        <f t="shared" si="13"/>
        <v>#DIV/0!</v>
      </c>
      <c r="K39" s="7" t="e">
        <f t="shared" si="14"/>
        <v>#DIV/0!</v>
      </c>
      <c r="L39" s="7" t="e">
        <f t="shared" si="11"/>
        <v>#DIV/0!</v>
      </c>
      <c r="M39" s="8">
        <f t="shared" si="15"/>
        <v>0</v>
      </c>
      <c r="N39" s="8">
        <v>10</v>
      </c>
      <c r="O39" s="8">
        <f t="shared" si="8"/>
        <v>10</v>
      </c>
      <c r="P39" s="8" t="e">
        <f t="shared" si="9"/>
        <v>#DIV/0!</v>
      </c>
      <c r="Q39" s="8" t="e">
        <f t="shared" si="10"/>
        <v>#DIV/0!</v>
      </c>
      <c r="U39" s="1">
        <f>123949*0.02</f>
        <v>2478.98</v>
      </c>
    </row>
    <row r="40" spans="1:17" ht="18.75">
      <c r="A40" s="2">
        <v>38</v>
      </c>
      <c r="B40" s="2" t="s">
        <v>31</v>
      </c>
      <c r="C40" s="11"/>
      <c r="D40" s="11"/>
      <c r="E40" s="11"/>
      <c r="F40" s="11"/>
      <c r="G40" s="11"/>
      <c r="H40" s="11">
        <v>24000000</v>
      </c>
      <c r="I40" s="7" t="e">
        <f t="shared" si="12"/>
        <v>#DIV/0!</v>
      </c>
      <c r="J40" s="7" t="e">
        <f t="shared" si="13"/>
        <v>#DIV/0!</v>
      </c>
      <c r="K40" s="7" t="e">
        <f t="shared" si="14"/>
        <v>#DIV/0!</v>
      </c>
      <c r="L40" s="7" t="e">
        <f t="shared" si="11"/>
        <v>#DIV/0!</v>
      </c>
      <c r="M40" s="8">
        <f t="shared" si="15"/>
        <v>0</v>
      </c>
      <c r="N40" s="8">
        <v>10</v>
      </c>
      <c r="O40" s="8">
        <f t="shared" si="8"/>
        <v>10</v>
      </c>
      <c r="P40" s="8" t="e">
        <f t="shared" si="9"/>
        <v>#DIV/0!</v>
      </c>
      <c r="Q40" s="8" t="e">
        <f t="shared" si="10"/>
        <v>#DIV/0!</v>
      </c>
    </row>
    <row r="41" spans="1:17" ht="18.75">
      <c r="A41" s="2">
        <v>39</v>
      </c>
      <c r="B41" s="2" t="s">
        <v>32</v>
      </c>
      <c r="C41" s="11"/>
      <c r="D41" s="11"/>
      <c r="E41" s="11"/>
      <c r="F41" s="11"/>
      <c r="G41" s="11"/>
      <c r="H41" s="11">
        <v>3000000</v>
      </c>
      <c r="I41" s="7" t="e">
        <f t="shared" si="12"/>
        <v>#DIV/0!</v>
      </c>
      <c r="J41" s="7" t="e">
        <f t="shared" si="13"/>
        <v>#DIV/0!</v>
      </c>
      <c r="K41" s="7" t="e">
        <f t="shared" si="14"/>
        <v>#DIV/0!</v>
      </c>
      <c r="L41" s="7" t="e">
        <f t="shared" si="11"/>
        <v>#DIV/0!</v>
      </c>
      <c r="M41" s="8">
        <f t="shared" si="15"/>
        <v>0</v>
      </c>
      <c r="N41" s="8">
        <v>10</v>
      </c>
      <c r="O41" s="8">
        <f t="shared" si="8"/>
        <v>10</v>
      </c>
      <c r="P41" s="8" t="e">
        <f t="shared" si="9"/>
        <v>#DIV/0!</v>
      </c>
      <c r="Q41" s="8" t="e">
        <f t="shared" si="10"/>
        <v>#DIV/0!</v>
      </c>
    </row>
    <row r="42" spans="1:17" ht="18.75">
      <c r="A42" s="2">
        <v>40</v>
      </c>
      <c r="B42" s="2" t="s">
        <v>33</v>
      </c>
      <c r="C42" s="11"/>
      <c r="D42" s="11"/>
      <c r="E42" s="11"/>
      <c r="F42" s="11"/>
      <c r="G42" s="11"/>
      <c r="H42" s="11"/>
      <c r="I42" s="7" t="e">
        <f t="shared" si="12"/>
        <v>#DIV/0!</v>
      </c>
      <c r="J42" s="7" t="e">
        <f t="shared" si="13"/>
        <v>#DIV/0!</v>
      </c>
      <c r="K42" s="7" t="e">
        <f t="shared" si="14"/>
        <v>#DIV/0!</v>
      </c>
      <c r="L42" s="7" t="e">
        <f t="shared" si="11"/>
        <v>#DIV/0!</v>
      </c>
      <c r="M42" s="8" t="e">
        <f t="shared" si="15"/>
        <v>#DIV/0!</v>
      </c>
      <c r="N42" s="8">
        <v>10</v>
      </c>
      <c r="O42" s="8" t="e">
        <f t="shared" si="8"/>
        <v>#DIV/0!</v>
      </c>
      <c r="P42" s="8" t="e">
        <f t="shared" si="9"/>
        <v>#DIV/0!</v>
      </c>
      <c r="Q42" s="8" t="e">
        <f t="shared" si="10"/>
        <v>#DIV/0!</v>
      </c>
    </row>
    <row r="43" spans="1:17" ht="18.75">
      <c r="A43" s="2">
        <v>41</v>
      </c>
      <c r="B43" s="2" t="s">
        <v>34</v>
      </c>
      <c r="C43" s="11"/>
      <c r="D43" s="11"/>
      <c r="E43" s="11"/>
      <c r="F43" s="11"/>
      <c r="G43" s="11"/>
      <c r="H43" s="11">
        <v>15000000</v>
      </c>
      <c r="I43" s="7" t="e">
        <f t="shared" si="12"/>
        <v>#DIV/0!</v>
      </c>
      <c r="J43" s="7" t="e">
        <f t="shared" si="13"/>
        <v>#DIV/0!</v>
      </c>
      <c r="K43" s="7" t="e">
        <f t="shared" si="14"/>
        <v>#DIV/0!</v>
      </c>
      <c r="L43" s="7" t="e">
        <f t="shared" si="11"/>
        <v>#DIV/0!</v>
      </c>
      <c r="M43" s="8">
        <f t="shared" si="15"/>
        <v>0</v>
      </c>
      <c r="N43" s="8">
        <v>10</v>
      </c>
      <c r="O43" s="8">
        <f t="shared" si="8"/>
        <v>10</v>
      </c>
      <c r="P43" s="8" t="e">
        <f t="shared" si="9"/>
        <v>#DIV/0!</v>
      </c>
      <c r="Q43" s="8" t="e">
        <f t="shared" si="10"/>
        <v>#DIV/0!</v>
      </c>
    </row>
    <row r="44" spans="1:17" ht="18.75">
      <c r="A44" s="2">
        <v>42</v>
      </c>
      <c r="B44" s="2" t="s">
        <v>35</v>
      </c>
      <c r="C44" s="11"/>
      <c r="D44" s="11"/>
      <c r="E44" s="11"/>
      <c r="F44" s="11"/>
      <c r="G44" s="11"/>
      <c r="H44" s="11"/>
      <c r="I44" s="7" t="e">
        <f t="shared" si="12"/>
        <v>#DIV/0!</v>
      </c>
      <c r="J44" s="7" t="e">
        <f t="shared" si="13"/>
        <v>#DIV/0!</v>
      </c>
      <c r="K44" s="7" t="e">
        <f t="shared" si="14"/>
        <v>#DIV/0!</v>
      </c>
      <c r="L44" s="7" t="e">
        <f t="shared" si="11"/>
        <v>#DIV/0!</v>
      </c>
      <c r="M44" s="8" t="e">
        <f t="shared" si="15"/>
        <v>#DIV/0!</v>
      </c>
      <c r="N44" s="8">
        <v>10</v>
      </c>
      <c r="O44" s="8" t="e">
        <f t="shared" si="8"/>
        <v>#DIV/0!</v>
      </c>
      <c r="P44" s="8" t="e">
        <f t="shared" si="9"/>
        <v>#DIV/0!</v>
      </c>
      <c r="Q44" s="8" t="e">
        <f t="shared" si="10"/>
        <v>#DIV/0!</v>
      </c>
    </row>
    <row r="45" spans="1:17" ht="18.75">
      <c r="A45" s="2">
        <v>43</v>
      </c>
      <c r="B45" s="2" t="s">
        <v>62</v>
      </c>
      <c r="C45" s="11"/>
      <c r="D45" s="11"/>
      <c r="E45" s="11"/>
      <c r="F45" s="11"/>
      <c r="G45" s="11"/>
      <c r="H45" s="11"/>
      <c r="I45" s="7" t="e">
        <f t="shared" si="12"/>
        <v>#DIV/0!</v>
      </c>
      <c r="J45" s="7" t="e">
        <f t="shared" si="13"/>
        <v>#DIV/0!</v>
      </c>
      <c r="K45" s="7" t="e">
        <f t="shared" si="14"/>
        <v>#DIV/0!</v>
      </c>
      <c r="L45" s="7" t="e">
        <f t="shared" si="11"/>
        <v>#DIV/0!</v>
      </c>
      <c r="M45" s="8" t="e">
        <f t="shared" si="15"/>
        <v>#DIV/0!</v>
      </c>
      <c r="N45" s="8">
        <v>10</v>
      </c>
      <c r="O45" s="8" t="e">
        <f t="shared" si="8"/>
        <v>#DIV/0!</v>
      </c>
      <c r="P45" s="8" t="e">
        <f t="shared" si="9"/>
        <v>#DIV/0!</v>
      </c>
      <c r="Q45" s="8" t="e">
        <f t="shared" si="10"/>
        <v>#DIV/0!</v>
      </c>
    </row>
    <row r="46" spans="1:17" ht="18.75">
      <c r="A46" s="2">
        <v>44</v>
      </c>
      <c r="B46" s="2" t="s">
        <v>36</v>
      </c>
      <c r="C46" s="11"/>
      <c r="D46" s="11"/>
      <c r="E46" s="11"/>
      <c r="F46" s="11"/>
      <c r="G46" s="11"/>
      <c r="H46" s="11"/>
      <c r="I46" s="7" t="e">
        <f t="shared" si="12"/>
        <v>#DIV/0!</v>
      </c>
      <c r="J46" s="7" t="e">
        <f t="shared" si="13"/>
        <v>#DIV/0!</v>
      </c>
      <c r="K46" s="7" t="e">
        <f t="shared" si="14"/>
        <v>#DIV/0!</v>
      </c>
      <c r="L46" s="7" t="e">
        <f t="shared" si="11"/>
        <v>#DIV/0!</v>
      </c>
      <c r="M46" s="8" t="e">
        <f t="shared" si="15"/>
        <v>#DIV/0!</v>
      </c>
      <c r="N46" s="8">
        <v>10</v>
      </c>
      <c r="O46" s="8" t="e">
        <f t="shared" si="8"/>
        <v>#DIV/0!</v>
      </c>
      <c r="P46" s="8" t="e">
        <f t="shared" si="9"/>
        <v>#DIV/0!</v>
      </c>
      <c r="Q46" s="8" t="e">
        <f t="shared" si="10"/>
        <v>#DIV/0!</v>
      </c>
    </row>
    <row r="47" spans="1:17" ht="18.75">
      <c r="A47" s="2">
        <v>45</v>
      </c>
      <c r="B47" s="2" t="s">
        <v>37</v>
      </c>
      <c r="C47" s="11"/>
      <c r="D47" s="11"/>
      <c r="E47" s="11"/>
      <c r="F47" s="11"/>
      <c r="G47" s="11"/>
      <c r="H47" s="11">
        <v>1440000</v>
      </c>
      <c r="I47" s="7" t="e">
        <f t="shared" si="12"/>
        <v>#DIV/0!</v>
      </c>
      <c r="J47" s="7" t="e">
        <f t="shared" si="13"/>
        <v>#DIV/0!</v>
      </c>
      <c r="K47" s="7" t="e">
        <f>G47/F47</f>
        <v>#DIV/0!</v>
      </c>
      <c r="L47" s="7" t="e">
        <f t="shared" si="11"/>
        <v>#DIV/0!</v>
      </c>
      <c r="M47" s="8">
        <f t="shared" si="15"/>
        <v>0</v>
      </c>
      <c r="N47" s="8">
        <v>10</v>
      </c>
      <c r="O47" s="8">
        <f t="shared" si="8"/>
        <v>10</v>
      </c>
      <c r="P47" s="8" t="e">
        <f t="shared" si="9"/>
        <v>#DIV/0!</v>
      </c>
      <c r="Q47" s="8" t="e">
        <f t="shared" si="10"/>
        <v>#DIV/0!</v>
      </c>
    </row>
    <row r="48" spans="1:17" ht="18.75">
      <c r="A48" s="2">
        <v>46</v>
      </c>
      <c r="B48" s="2" t="s">
        <v>38</v>
      </c>
      <c r="C48" s="11">
        <v>1432273547</v>
      </c>
      <c r="D48" s="11">
        <v>0</v>
      </c>
      <c r="E48" s="11">
        <v>0</v>
      </c>
      <c r="F48" s="11">
        <f>437029311+4027230</f>
        <v>441056541</v>
      </c>
      <c r="G48" s="11">
        <v>0</v>
      </c>
      <c r="H48" s="11">
        <v>20000000</v>
      </c>
      <c r="I48" s="7">
        <f t="shared" si="12"/>
        <v>0</v>
      </c>
      <c r="J48" s="7">
        <f t="shared" si="13"/>
        <v>0</v>
      </c>
      <c r="K48" s="7">
        <f t="shared" si="14"/>
        <v>0</v>
      </c>
      <c r="L48" s="7">
        <f t="shared" si="11"/>
        <v>0</v>
      </c>
      <c r="M48" s="8">
        <f t="shared" si="15"/>
        <v>0</v>
      </c>
      <c r="N48" s="8">
        <v>10</v>
      </c>
      <c r="O48" s="8">
        <f t="shared" si="8"/>
        <v>10</v>
      </c>
      <c r="P48" s="8">
        <f t="shared" si="9"/>
        <v>0</v>
      </c>
      <c r="Q48" s="8">
        <f t="shared" si="10"/>
        <v>10</v>
      </c>
    </row>
    <row r="49" spans="1:17" ht="18.75">
      <c r="A49" s="2">
        <v>47</v>
      </c>
      <c r="B49" s="2" t="s">
        <v>39</v>
      </c>
      <c r="C49" s="11">
        <v>38227814</v>
      </c>
      <c r="D49" s="11">
        <v>0</v>
      </c>
      <c r="E49" s="11">
        <f>5357086+4789386</f>
        <v>10146472</v>
      </c>
      <c r="F49" s="11">
        <f>36738004+580830</f>
        <v>37318834</v>
      </c>
      <c r="G49" s="11">
        <f>139820+196210</f>
        <v>336030</v>
      </c>
      <c r="H49" s="11">
        <v>701195</v>
      </c>
      <c r="I49" s="7">
        <f t="shared" si="12"/>
        <v>0</v>
      </c>
      <c r="J49" s="7">
        <f t="shared" si="13"/>
        <v>0.26542119306115697</v>
      </c>
      <c r="K49" s="7">
        <f t="shared" si="14"/>
        <v>0.009004300616680574</v>
      </c>
      <c r="L49" s="7">
        <f t="shared" si="11"/>
        <v>0</v>
      </c>
      <c r="M49" s="8">
        <f t="shared" si="15"/>
        <v>0.4792247520304623</v>
      </c>
      <c r="N49" s="8">
        <v>10</v>
      </c>
      <c r="O49" s="8">
        <f t="shared" si="8"/>
        <v>9.520775247969537</v>
      </c>
      <c r="P49" s="8">
        <f t="shared" si="9"/>
        <v>0</v>
      </c>
      <c r="Q49" s="8">
        <f t="shared" si="10"/>
        <v>9.520775247969537</v>
      </c>
    </row>
    <row r="50" spans="1:17" ht="18.75">
      <c r="A50" s="2">
        <v>48</v>
      </c>
      <c r="B50" s="2" t="s">
        <v>40</v>
      </c>
      <c r="C50" s="11"/>
      <c r="D50" s="11"/>
      <c r="E50" s="11"/>
      <c r="F50" s="11"/>
      <c r="G50" s="11"/>
      <c r="H50" s="11"/>
      <c r="I50" s="7" t="e">
        <f t="shared" si="12"/>
        <v>#DIV/0!</v>
      </c>
      <c r="J50" s="7" t="e">
        <f t="shared" si="13"/>
        <v>#DIV/0!</v>
      </c>
      <c r="K50" s="7" t="e">
        <f t="shared" si="14"/>
        <v>#DIV/0!</v>
      </c>
      <c r="L50" s="7" t="e">
        <f t="shared" si="11"/>
        <v>#DIV/0!</v>
      </c>
      <c r="M50" s="8" t="e">
        <f t="shared" si="15"/>
        <v>#DIV/0!</v>
      </c>
      <c r="N50" s="8">
        <v>10</v>
      </c>
      <c r="O50" s="8" t="e">
        <f t="shared" si="8"/>
        <v>#DIV/0!</v>
      </c>
      <c r="P50" s="8" t="e">
        <f t="shared" si="9"/>
        <v>#DIV/0!</v>
      </c>
      <c r="Q50" s="8" t="e">
        <f t="shared" si="10"/>
        <v>#DIV/0!</v>
      </c>
    </row>
    <row r="51" spans="1:17" ht="18.75">
      <c r="A51" s="2">
        <v>49</v>
      </c>
      <c r="B51" s="2" t="s">
        <v>41</v>
      </c>
      <c r="C51" s="11"/>
      <c r="D51" s="11"/>
      <c r="E51" s="11"/>
      <c r="F51" s="11"/>
      <c r="G51" s="11"/>
      <c r="H51" s="11">
        <v>4000000</v>
      </c>
      <c r="I51" s="7" t="e">
        <f t="shared" si="12"/>
        <v>#DIV/0!</v>
      </c>
      <c r="J51" s="7" t="e">
        <f t="shared" si="13"/>
        <v>#DIV/0!</v>
      </c>
      <c r="K51" s="7" t="e">
        <f t="shared" si="14"/>
        <v>#DIV/0!</v>
      </c>
      <c r="L51" s="7" t="e">
        <f t="shared" si="11"/>
        <v>#DIV/0!</v>
      </c>
      <c r="M51" s="8">
        <f t="shared" si="15"/>
        <v>0</v>
      </c>
      <c r="N51" s="8">
        <v>10</v>
      </c>
      <c r="O51" s="8">
        <f t="shared" si="8"/>
        <v>10</v>
      </c>
      <c r="P51" s="8" t="e">
        <f t="shared" si="9"/>
        <v>#DIV/0!</v>
      </c>
      <c r="Q51" s="8" t="e">
        <f t="shared" si="10"/>
        <v>#DIV/0!</v>
      </c>
    </row>
    <row r="52" spans="1:17" ht="18.75">
      <c r="A52" s="2">
        <v>50</v>
      </c>
      <c r="B52" s="2" t="s">
        <v>42</v>
      </c>
      <c r="C52" s="11">
        <v>101376854000</v>
      </c>
      <c r="D52" s="11">
        <v>12000000000</v>
      </c>
      <c r="E52" s="11">
        <v>1040232000</v>
      </c>
      <c r="F52" s="11">
        <f>17545341000+135143000</f>
        <v>17680484000</v>
      </c>
      <c r="G52" s="11">
        <v>0</v>
      </c>
      <c r="H52" s="11">
        <v>765755418</v>
      </c>
      <c r="I52" s="7">
        <f t="shared" si="12"/>
        <v>0.11837021496050765</v>
      </c>
      <c r="J52" s="7">
        <f t="shared" si="13"/>
        <v>0.010261040454066566</v>
      </c>
      <c r="K52" s="7">
        <f t="shared" si="14"/>
        <v>0</v>
      </c>
      <c r="L52" s="7">
        <f t="shared" si="11"/>
        <v>0.059185107480253824</v>
      </c>
      <c r="M52" s="8">
        <f t="shared" si="15"/>
        <v>0</v>
      </c>
      <c r="N52" s="8">
        <v>10</v>
      </c>
      <c r="O52" s="8">
        <f t="shared" si="8"/>
        <v>10</v>
      </c>
      <c r="P52" s="8">
        <f t="shared" si="9"/>
        <v>0.5918510748025383</v>
      </c>
      <c r="Q52" s="8">
        <f t="shared" si="10"/>
        <v>9.408148925197462</v>
      </c>
    </row>
    <row r="53" spans="1:17" ht="18.75">
      <c r="A53" s="2">
        <v>51</v>
      </c>
      <c r="B53" s="2" t="s">
        <v>43</v>
      </c>
      <c r="C53" s="11">
        <v>1066131961</v>
      </c>
      <c r="D53" s="11">
        <v>0</v>
      </c>
      <c r="E53" s="11">
        <v>0</v>
      </c>
      <c r="F53" s="11">
        <v>522191809</v>
      </c>
      <c r="G53" s="11">
        <v>0</v>
      </c>
      <c r="H53" s="11">
        <v>8000000</v>
      </c>
      <c r="I53" s="7">
        <f t="shared" si="12"/>
        <v>0</v>
      </c>
      <c r="J53" s="7">
        <f t="shared" si="13"/>
        <v>0</v>
      </c>
      <c r="K53" s="7">
        <f t="shared" si="14"/>
        <v>0</v>
      </c>
      <c r="L53" s="7">
        <f t="shared" si="11"/>
        <v>0</v>
      </c>
      <c r="M53" s="8">
        <f t="shared" si="15"/>
        <v>0</v>
      </c>
      <c r="N53" s="8">
        <v>10</v>
      </c>
      <c r="O53" s="8">
        <f t="shared" si="8"/>
        <v>10</v>
      </c>
      <c r="P53" s="8">
        <f t="shared" si="9"/>
        <v>0</v>
      </c>
      <c r="Q53" s="8">
        <f t="shared" si="10"/>
        <v>10</v>
      </c>
    </row>
    <row r="54" spans="1:17" ht="18.75">
      <c r="A54" s="2">
        <v>52</v>
      </c>
      <c r="B54" s="12" t="s">
        <v>49</v>
      </c>
      <c r="C54" s="11"/>
      <c r="D54" s="11">
        <v>0</v>
      </c>
      <c r="E54" s="11">
        <v>0</v>
      </c>
      <c r="F54" s="11"/>
      <c r="G54" s="11">
        <v>0</v>
      </c>
      <c r="H54" s="11">
        <v>4912287</v>
      </c>
      <c r="I54" s="7" t="e">
        <f t="shared" si="12"/>
        <v>#DIV/0!</v>
      </c>
      <c r="J54" s="7" t="e">
        <f t="shared" si="13"/>
        <v>#DIV/0!</v>
      </c>
      <c r="K54" s="7" t="e">
        <f t="shared" si="14"/>
        <v>#DIV/0!</v>
      </c>
      <c r="L54" s="7" t="e">
        <f t="shared" si="11"/>
        <v>#DIV/0!</v>
      </c>
      <c r="M54" s="8">
        <f t="shared" si="15"/>
        <v>0</v>
      </c>
      <c r="N54" s="8">
        <v>10</v>
      </c>
      <c r="O54" s="8">
        <f t="shared" si="8"/>
        <v>10</v>
      </c>
      <c r="P54" s="8" t="e">
        <f t="shared" si="9"/>
        <v>#DIV/0!</v>
      </c>
      <c r="Q54" s="8" t="e">
        <f t="shared" si="10"/>
        <v>#DIV/0!</v>
      </c>
    </row>
    <row r="55" spans="1:17" ht="18.75">
      <c r="A55" s="2">
        <v>53</v>
      </c>
      <c r="B55" s="2" t="s">
        <v>64</v>
      </c>
      <c r="C55" s="11">
        <v>433012678</v>
      </c>
      <c r="D55" s="11">
        <v>0</v>
      </c>
      <c r="E55" s="11">
        <v>0</v>
      </c>
      <c r="F55" s="11">
        <v>172785848</v>
      </c>
      <c r="G55" s="11">
        <v>0</v>
      </c>
      <c r="H55" s="11">
        <v>6000000</v>
      </c>
      <c r="I55" s="7">
        <f t="shared" si="12"/>
        <v>0</v>
      </c>
      <c r="J55" s="7">
        <f t="shared" si="13"/>
        <v>0</v>
      </c>
      <c r="K55" s="7">
        <f t="shared" si="14"/>
        <v>0</v>
      </c>
      <c r="L55" s="7"/>
      <c r="M55" s="8">
        <f t="shared" si="15"/>
        <v>0</v>
      </c>
      <c r="N55" s="8">
        <v>10</v>
      </c>
      <c r="O55" s="8">
        <f t="shared" si="8"/>
        <v>10</v>
      </c>
      <c r="P55" s="8">
        <f t="shared" si="9"/>
        <v>0</v>
      </c>
      <c r="Q55" s="8">
        <f t="shared" si="10"/>
        <v>10</v>
      </c>
    </row>
    <row r="56" spans="1:17" ht="18.75">
      <c r="A56" s="2">
        <v>54</v>
      </c>
      <c r="B56" s="2" t="s">
        <v>52</v>
      </c>
      <c r="C56" s="11">
        <v>422253466</v>
      </c>
      <c r="D56" s="11">
        <v>0</v>
      </c>
      <c r="E56" s="11">
        <v>0</v>
      </c>
      <c r="F56" s="11">
        <v>122722283</v>
      </c>
      <c r="G56" s="11">
        <v>0</v>
      </c>
      <c r="H56" s="11">
        <v>4000000</v>
      </c>
      <c r="I56" s="7">
        <f t="shared" si="12"/>
        <v>0</v>
      </c>
      <c r="J56" s="7">
        <f t="shared" si="13"/>
        <v>0</v>
      </c>
      <c r="K56" s="7">
        <f t="shared" si="14"/>
        <v>0</v>
      </c>
      <c r="L56" s="7">
        <f t="shared" si="11"/>
        <v>0</v>
      </c>
      <c r="M56" s="8">
        <f t="shared" si="15"/>
        <v>0</v>
      </c>
      <c r="N56" s="8">
        <v>10</v>
      </c>
      <c r="O56" s="8">
        <f t="shared" si="8"/>
        <v>10</v>
      </c>
      <c r="P56" s="8">
        <f t="shared" si="9"/>
        <v>0</v>
      </c>
      <c r="Q56" s="8">
        <f t="shared" si="10"/>
        <v>10</v>
      </c>
    </row>
    <row r="57" spans="1:17" ht="18.75">
      <c r="A57" s="2">
        <v>55</v>
      </c>
      <c r="B57" s="2" t="s">
        <v>44</v>
      </c>
      <c r="C57" s="11"/>
      <c r="D57" s="11"/>
      <c r="E57" s="11"/>
      <c r="F57" s="11"/>
      <c r="G57" s="11"/>
      <c r="H57" s="11">
        <v>2000000</v>
      </c>
      <c r="I57" s="7" t="e">
        <f t="shared" si="12"/>
        <v>#DIV/0!</v>
      </c>
      <c r="J57" s="7" t="e">
        <f t="shared" si="13"/>
        <v>#DIV/0!</v>
      </c>
      <c r="K57" s="7" t="e">
        <f t="shared" si="14"/>
        <v>#DIV/0!</v>
      </c>
      <c r="L57" s="7" t="e">
        <f t="shared" si="11"/>
        <v>#DIV/0!</v>
      </c>
      <c r="M57" s="8">
        <f t="shared" si="15"/>
        <v>0</v>
      </c>
      <c r="N57" s="8">
        <v>10</v>
      </c>
      <c r="O57" s="8">
        <f t="shared" si="8"/>
        <v>10</v>
      </c>
      <c r="P57" s="8" t="e">
        <f t="shared" si="9"/>
        <v>#DIV/0!</v>
      </c>
      <c r="Q57" s="8" t="e">
        <f t="shared" si="10"/>
        <v>#DIV/0!</v>
      </c>
    </row>
    <row r="58" spans="1:17" ht="18.75">
      <c r="A58" s="2">
        <v>56</v>
      </c>
      <c r="B58" s="2" t="s">
        <v>51</v>
      </c>
      <c r="C58" s="11"/>
      <c r="D58" s="11"/>
      <c r="E58" s="11"/>
      <c r="F58" s="11"/>
      <c r="G58" s="11"/>
      <c r="H58" s="11">
        <v>3567000</v>
      </c>
      <c r="I58" s="7" t="e">
        <f t="shared" si="12"/>
        <v>#DIV/0!</v>
      </c>
      <c r="J58" s="7" t="e">
        <f t="shared" si="13"/>
        <v>#DIV/0!</v>
      </c>
      <c r="K58" s="7" t="e">
        <f t="shared" si="14"/>
        <v>#DIV/0!</v>
      </c>
      <c r="L58" s="7" t="e">
        <f t="shared" si="11"/>
        <v>#DIV/0!</v>
      </c>
      <c r="M58" s="8">
        <f t="shared" si="15"/>
        <v>0</v>
      </c>
      <c r="N58" s="8">
        <v>10</v>
      </c>
      <c r="O58" s="8">
        <f t="shared" si="8"/>
        <v>10</v>
      </c>
      <c r="P58" s="8" t="e">
        <f t="shared" si="9"/>
        <v>#DIV/0!</v>
      </c>
      <c r="Q58" s="8" t="e">
        <f t="shared" si="10"/>
        <v>#DIV/0!</v>
      </c>
    </row>
    <row r="59" spans="1:17" ht="18.75">
      <c r="A59" s="2">
        <v>57</v>
      </c>
      <c r="B59" s="2" t="s">
        <v>45</v>
      </c>
      <c r="C59" s="11">
        <f>102673802+260239856</f>
        <v>362913658</v>
      </c>
      <c r="D59" s="11">
        <v>0</v>
      </c>
      <c r="E59" s="11">
        <v>0</v>
      </c>
      <c r="F59" s="11">
        <f>127417976+418292</f>
        <v>127836268</v>
      </c>
      <c r="G59" s="11"/>
      <c r="H59" s="11">
        <v>4000000</v>
      </c>
      <c r="I59" s="7">
        <f t="shared" si="12"/>
        <v>0</v>
      </c>
      <c r="J59" s="7">
        <f t="shared" si="13"/>
        <v>0</v>
      </c>
      <c r="K59" s="7">
        <f t="shared" si="14"/>
        <v>0</v>
      </c>
      <c r="L59" s="7">
        <f t="shared" si="11"/>
        <v>0</v>
      </c>
      <c r="M59" s="8">
        <f t="shared" si="15"/>
        <v>0</v>
      </c>
      <c r="N59" s="8">
        <v>10</v>
      </c>
      <c r="O59" s="8">
        <f t="shared" si="8"/>
        <v>10</v>
      </c>
      <c r="P59" s="8">
        <f t="shared" si="9"/>
        <v>0</v>
      </c>
      <c r="Q59" s="8">
        <f t="shared" si="10"/>
        <v>10</v>
      </c>
    </row>
    <row r="60" spans="1:17" ht="18.75">
      <c r="A60" s="2">
        <v>58</v>
      </c>
      <c r="B60" s="2" t="s">
        <v>46</v>
      </c>
      <c r="C60" s="11"/>
      <c r="D60" s="11"/>
      <c r="E60" s="11"/>
      <c r="F60" s="11"/>
      <c r="G60" s="11"/>
      <c r="H60" s="11"/>
      <c r="I60" s="7" t="e">
        <f t="shared" si="12"/>
        <v>#DIV/0!</v>
      </c>
      <c r="J60" s="7" t="e">
        <f t="shared" si="13"/>
        <v>#DIV/0!</v>
      </c>
      <c r="K60" s="7" t="e">
        <f t="shared" si="14"/>
        <v>#DIV/0!</v>
      </c>
      <c r="L60" s="7" t="e">
        <f t="shared" si="11"/>
        <v>#DIV/0!</v>
      </c>
      <c r="M60" s="8" t="e">
        <f t="shared" si="15"/>
        <v>#DIV/0!</v>
      </c>
      <c r="N60" s="8">
        <v>10</v>
      </c>
      <c r="O60" s="8" t="e">
        <f t="shared" si="8"/>
        <v>#DIV/0!</v>
      </c>
      <c r="P60" s="8" t="e">
        <f t="shared" si="9"/>
        <v>#DIV/0!</v>
      </c>
      <c r="Q60" s="8" t="e">
        <f t="shared" si="10"/>
        <v>#DIV/0!</v>
      </c>
    </row>
    <row r="61" spans="1:17" ht="18.75">
      <c r="A61" s="2">
        <v>59</v>
      </c>
      <c r="B61" s="2" t="s">
        <v>47</v>
      </c>
      <c r="C61" s="11"/>
      <c r="D61" s="11"/>
      <c r="E61" s="11"/>
      <c r="F61" s="11"/>
      <c r="G61" s="11"/>
      <c r="H61" s="11"/>
      <c r="I61" s="7" t="e">
        <f t="shared" si="12"/>
        <v>#DIV/0!</v>
      </c>
      <c r="J61" s="7" t="e">
        <f t="shared" si="13"/>
        <v>#DIV/0!</v>
      </c>
      <c r="K61" s="7" t="e">
        <f t="shared" si="14"/>
        <v>#DIV/0!</v>
      </c>
      <c r="L61" s="7" t="e">
        <f t="shared" si="11"/>
        <v>#DIV/0!</v>
      </c>
      <c r="M61" s="8" t="e">
        <f t="shared" si="15"/>
        <v>#DIV/0!</v>
      </c>
      <c r="N61" s="8">
        <v>10</v>
      </c>
      <c r="O61" s="8" t="e">
        <f t="shared" si="8"/>
        <v>#DIV/0!</v>
      </c>
      <c r="P61" s="8" t="e">
        <f t="shared" si="9"/>
        <v>#DIV/0!</v>
      </c>
      <c r="Q61" s="8" t="e">
        <f t="shared" si="10"/>
        <v>#DIV/0!</v>
      </c>
    </row>
    <row r="62" spans="1:17" ht="18.75">
      <c r="A62" s="2">
        <v>60</v>
      </c>
      <c r="B62" s="2" t="s">
        <v>48</v>
      </c>
      <c r="C62" s="11"/>
      <c r="D62" s="11"/>
      <c r="E62" s="11"/>
      <c r="F62" s="11"/>
      <c r="G62" s="11"/>
      <c r="H62" s="11">
        <v>300000000</v>
      </c>
      <c r="I62" s="7" t="e">
        <f>D62/C62</f>
        <v>#DIV/0!</v>
      </c>
      <c r="J62" s="7" t="e">
        <f>E62/C62</f>
        <v>#DIV/0!</v>
      </c>
      <c r="K62" s="7" t="e">
        <f>G62/F62</f>
        <v>#DIV/0!</v>
      </c>
      <c r="L62" s="7" t="e">
        <f>I62/2</f>
        <v>#DIV/0!</v>
      </c>
      <c r="M62" s="8">
        <f>G62/H62</f>
        <v>0</v>
      </c>
      <c r="N62" s="8">
        <v>10</v>
      </c>
      <c r="O62" s="8">
        <f t="shared" si="8"/>
        <v>10</v>
      </c>
      <c r="P62" s="8" t="e">
        <f t="shared" si="9"/>
        <v>#DIV/0!</v>
      </c>
      <c r="Q62" s="8" t="e">
        <f t="shared" si="10"/>
        <v>#DIV/0!</v>
      </c>
    </row>
    <row r="64" spans="2:10" ht="45">
      <c r="B64" s="21" t="s">
        <v>90</v>
      </c>
      <c r="C64" s="21"/>
      <c r="D64" s="21"/>
      <c r="E64" s="21"/>
      <c r="F64" s="21"/>
      <c r="G64" s="21"/>
      <c r="H64" s="21"/>
      <c r="I64" s="21"/>
      <c r="J64" s="21"/>
    </row>
    <row r="66" spans="2:3" ht="23.25">
      <c r="B66" s="17">
        <v>1</v>
      </c>
      <c r="C66" s="18" t="s">
        <v>82</v>
      </c>
    </row>
    <row r="67" spans="2:3" ht="23.25">
      <c r="B67" s="17">
        <v>2</v>
      </c>
      <c r="C67" s="18" t="s">
        <v>83</v>
      </c>
    </row>
    <row r="68" spans="2:3" ht="23.25">
      <c r="B68" s="17">
        <v>3</v>
      </c>
      <c r="C68" s="18" t="s">
        <v>81</v>
      </c>
    </row>
    <row r="69" spans="2:3" ht="23.25">
      <c r="B69" s="17">
        <v>4</v>
      </c>
      <c r="C69" s="18" t="s">
        <v>79</v>
      </c>
    </row>
    <row r="70" spans="2:3" ht="23.25">
      <c r="B70" s="17">
        <v>5</v>
      </c>
      <c r="C70" s="18" t="s">
        <v>80</v>
      </c>
    </row>
    <row r="72" spans="3:8" ht="45">
      <c r="C72" s="21" t="s">
        <v>89</v>
      </c>
      <c r="D72" s="21"/>
      <c r="E72" s="21"/>
      <c r="F72" s="21"/>
      <c r="G72" s="21"/>
      <c r="H72" s="21"/>
    </row>
    <row r="74" ht="23.25">
      <c r="C74" s="19" t="s">
        <v>87</v>
      </c>
    </row>
    <row r="75" ht="23.25">
      <c r="C75" s="19" t="s">
        <v>84</v>
      </c>
    </row>
    <row r="76" ht="23.25">
      <c r="C76" s="19" t="s">
        <v>85</v>
      </c>
    </row>
    <row r="77" ht="23.25">
      <c r="C77" s="19" t="s">
        <v>86</v>
      </c>
    </row>
    <row r="78" ht="23.25">
      <c r="C78" s="19" t="s">
        <v>88</v>
      </c>
    </row>
    <row r="81" spans="2:11" ht="23.25">
      <c r="B81" s="20" t="s">
        <v>91</v>
      </c>
      <c r="C81" s="20"/>
      <c r="D81" s="20"/>
      <c r="E81" s="20"/>
      <c r="F81" s="20"/>
      <c r="G81" s="20"/>
      <c r="H81" s="20"/>
      <c r="I81" s="20"/>
      <c r="J81" s="20"/>
      <c r="K81" s="20"/>
    </row>
  </sheetData>
  <mergeCells count="6">
    <mergeCell ref="B81:K81"/>
    <mergeCell ref="A1:H1"/>
    <mergeCell ref="I1:K1"/>
    <mergeCell ref="L1:M1"/>
    <mergeCell ref="C72:H72"/>
    <mergeCell ref="B64:J64"/>
  </mergeCells>
  <conditionalFormatting sqref="I3:I62">
    <cfRule type="cellIs" priority="1" dxfId="0" operator="greaterThanOrEqual" stopIfTrue="1">
      <formula>0.25</formula>
    </cfRule>
  </conditionalFormatting>
  <conditionalFormatting sqref="J3:J62">
    <cfRule type="cellIs" priority="2" dxfId="0" operator="greaterThanOrEqual" stopIfTrue="1">
      <formula>0.15</formula>
    </cfRule>
  </conditionalFormatting>
  <conditionalFormatting sqref="K3:K62">
    <cfRule type="cellIs" priority="3" dxfId="0" operator="greaterThanOrEqual" stopIfTrue="1">
      <formula>0.05</formula>
    </cfRule>
  </conditionalFormatting>
  <printOptions horizontalCentered="1"/>
  <pageMargins left="0.2362204724409449" right="0.1968503937007874" top="0.19" bottom="0.29" header="0.1968503937007874" footer="0.28"/>
  <pageSetup fitToHeight="2" horizontalDpi="600" verticalDpi="600" orientation="landscape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scd0026</dc:creator>
  <cp:keywords/>
  <dc:description/>
  <cp:lastModifiedBy>alosaimi</cp:lastModifiedBy>
  <cp:lastPrinted>2004-05-04T05:57:10Z</cp:lastPrinted>
  <dcterms:created xsi:type="dcterms:W3CDTF">2003-06-15T08:40:37Z</dcterms:created>
  <dcterms:modified xsi:type="dcterms:W3CDTF">2004-08-28T10:45:01Z</dcterms:modified>
  <cp:category/>
  <cp:version/>
  <cp:contentType/>
  <cp:contentStatus/>
</cp:coreProperties>
</file>